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95" activeTab="0"/>
  </bookViews>
  <sheets>
    <sheet name="РАЗВЕРНУТЫЙ" sheetId="1" r:id="rId1"/>
  </sheets>
  <externalReferences>
    <externalReference r:id="rId4"/>
  </externalReferences>
  <definedNames>
    <definedName name="A" localSheetId="0">#REF!</definedName>
    <definedName name="A">#REF!</definedName>
    <definedName name="Z_2CA782B0_B97F_435B_AED9_87193677D323_.wvu.Cols" localSheetId="0" hidden="1">'РАЗВЕРНУТЫЙ'!#REF!,'РАЗВЕРНУТЫЙ'!#REF!</definedName>
    <definedName name="Z_2CA782B0_B97F_435B_AED9_87193677D323_.wvu.PrintTitles" localSheetId="0" hidden="1">'РАЗВЕРНУТЫЙ'!$5:$5</definedName>
    <definedName name="Z_2CA782B0_B97F_435B_AED9_87193677D323_.wvu.Rows" localSheetId="0" hidden="1">'РАЗВЕРНУТЫЙ'!$8:$45,'РАЗВЕРНУТЫЙ'!$47:$50,'РАЗВЕРНУТЫЙ'!$60:$79,'РАЗВЕРНУТЫЙ'!#REF!,'РАЗВЕРНУТЫЙ'!$90:$102,'РАЗВЕРНУТЫЙ'!$107:$117,'РАЗВЕРНУТЫЙ'!$125:$145,'РАЗВЕРНУТЫЙ'!$149:$156,'РАЗВЕРНУТЫЙ'!$163:$174,'РАЗВЕРНУТЫЙ'!$179:$185,'РАЗВЕРНУТЫЙ'!$188:$189,'РАЗВЕРНУТЫЙ'!$194:$200,'РАЗВЕРНУТЫЙ'!$202:$213</definedName>
    <definedName name="Z_2D6EB9BE_9E94_40DC_8475_1F8DEB6121B2_.wvu.PrintArea" localSheetId="0" hidden="1">'РАЗВЕРНУТЫЙ'!$A$1:$N$201</definedName>
    <definedName name="Z_2D6EB9BE_9E94_40DC_8475_1F8DEB6121B2_.wvu.PrintTitles" localSheetId="0" hidden="1">'РАЗВЕРНУТЫЙ'!$5:$5</definedName>
    <definedName name="Z_2D6EB9BE_9E94_40DC_8475_1F8DEB6121B2_.wvu.Rows" localSheetId="0" hidden="1">'РАЗВЕРНУТЫЙ'!$156:$156,'РАЗВЕРНУТЫЙ'!$189:$189,'РАЗВЕРНУТЫЙ'!$202:$213</definedName>
    <definedName name="Z_79662088_E730_4999_8CDD_F3350E97CDD4_.wvu.Cols" localSheetId="0" hidden="1">'РАЗВЕРНУТЫЙ'!#REF!,'РАЗВЕРНУТЫЙ'!#REF!</definedName>
    <definedName name="Z_79662088_E730_4999_8CDD_F3350E97CDD4_.wvu.PrintArea" localSheetId="0" hidden="1">'РАЗВЕРНУТЫЙ'!$A$2:$N$213</definedName>
    <definedName name="Z_79662088_E730_4999_8CDD_F3350E97CDD4_.wvu.PrintTitles" localSheetId="0" hidden="1">'РАЗВЕРНУТЫЙ'!$A:$B,'РАЗВЕРНУТЫЙ'!$5:$5</definedName>
    <definedName name="Z_79662088_E730_4999_8CDD_F3350E97CDD4_.wvu.Rows" localSheetId="0" hidden="1">'РАЗВЕРНУТЫЙ'!#REF!,'РАЗВЕРНУТЫЙ'!$102:$102,'РАЗВЕРНУТЫЙ'!$140:$140,'РАЗВЕРНУТЫЙ'!$144:$145,'РАЗВЕРНУТЫЙ'!#REF!,'РАЗВЕРНУТЫЙ'!#REF!</definedName>
    <definedName name="Z_99A87AB4_46A9_477F_8E5E_3E16685E3176_.wvu.Cols" localSheetId="0" hidden="1">'РАЗВЕРНУТЫЙ'!#REF!,'РАЗВЕРНУТЫЙ'!#REF!,'РАЗВЕРНУТЫЙ'!#REF!</definedName>
    <definedName name="Z_99A87AB4_46A9_477F_8E5E_3E16685E3176_.wvu.PrintArea" localSheetId="0" hidden="1">'РАЗВЕРНУТЫЙ'!$A$1:$N$213</definedName>
    <definedName name="Z_99A87AB4_46A9_477F_8E5E_3E16685E3176_.wvu.PrintTitles" localSheetId="0" hidden="1">'РАЗВЕРНУТЫЙ'!$5:$6</definedName>
    <definedName name="Z_99A87AB4_46A9_477F_8E5E_3E16685E3176_.wvu.Rows" localSheetId="0" hidden="1">'РАЗВЕРНУТЫЙ'!#REF!,'РАЗВЕРНУТЫЙ'!#REF!,'РАЗВЕРНУТЫЙ'!#REF!</definedName>
    <definedName name="Z_B43C4B24_59D6_4577_9656_D0EAFB4F8E72_.wvu.Cols" localSheetId="0" hidden="1">'РАЗВЕРНУТЫЙ'!#REF!,'РАЗВЕРНУТЫЙ'!#REF!</definedName>
    <definedName name="Z_B43C4B24_59D6_4577_9656_D0EAFB4F8E72_.wvu.PrintArea" localSheetId="0" hidden="1">'РАЗВЕРНУТЫЙ'!$A$2:$N$201</definedName>
    <definedName name="Z_B43C4B24_59D6_4577_9656_D0EAFB4F8E72_.wvu.Rows" localSheetId="0" hidden="1">'РАЗВЕРНУТЫЙ'!$7:$45,'РАЗВЕРНУТЫЙ'!#REF!,'РАЗВЕРНУТЫЙ'!$102:$102,'РАЗВЕРНУТЫЙ'!#REF!,'РАЗВЕРНУТЫЙ'!#REF!</definedName>
    <definedName name="Z_B7B0BDFE_99FF_4031_9EBD_83340C6E0C36_.wvu.Cols" localSheetId="0" hidden="1">'РАЗВЕРНУТЫЙ'!#REF!,'РАЗВЕРНУТЫЙ'!#REF!,'РАЗВЕРНУТЫЙ'!#REF!</definedName>
    <definedName name="Z_B7B0BDFE_99FF_4031_9EBD_83340C6E0C36_.wvu.PrintTitles" localSheetId="0" hidden="1">'РАЗВЕРНУТЫЙ'!$5:$5</definedName>
    <definedName name="Z_B7B0BDFE_99FF_4031_9EBD_83340C6E0C36_.wvu.Rows" localSheetId="0" hidden="1">'РАЗВЕРНУТЫЙ'!$60:$77,'РАЗВЕРНУТЫЙ'!$81:$81,'РАЗВЕРНУТЫЙ'!$90:$102,'РАЗВЕРНУТЫЙ'!$107:$117,'РАЗВЕРНУТЫЙ'!$125:$145,'РАЗВЕРНУТЫЙ'!$149:$156,'РАЗВЕРНУТЫЙ'!$163:$174,'РАЗВЕРНУТЫЙ'!$179:$185,'РАЗВЕРНУТЫЙ'!$188:$189,'РАЗВЕРНУТЫЙ'!$194:$200</definedName>
    <definedName name="Z_C89A2FD7_C4B0_42A3_8F92_5A2F0A170132_.wvu.PrintTitles" localSheetId="0" hidden="1">'РАЗВЕРНУТЫЙ'!$5:$5</definedName>
    <definedName name="Z_C89A2FD7_C4B0_42A3_8F92_5A2F0A170132_.wvu.Rows" localSheetId="0" hidden="1">'РАЗВЕРНУТЫЙ'!$53:$200,'РАЗВЕРНУТЫЙ'!$202:$213</definedName>
    <definedName name="Z_C9D085E4_9444_471B_9419_AC88CD971B21_.wvu.PrintArea" localSheetId="0" hidden="1">'РАЗВЕРНУТЫЙ'!$A$1:$N$201</definedName>
    <definedName name="Z_C9D085E4_9444_471B_9419_AC88CD971B21_.wvu.PrintTitles" localSheetId="0" hidden="1">'РАЗВЕРНУТЫЙ'!$5:$5</definedName>
    <definedName name="Z_C9D085E4_9444_471B_9419_AC88CD971B21_.wvu.Rows" localSheetId="0" hidden="1">'РАЗВЕРНУТЫЙ'!$202:$213</definedName>
    <definedName name="Z_F2F3820C_F7F6_47E0_903A_733B13BFB6DA_.wvu.Rows" localSheetId="0" hidden="1">'РАЗВЕРНУТЫЙ'!$7:$45</definedName>
    <definedName name="_xlnm.Print_Titles" localSheetId="0">'РАЗВЕРНУТЫЙ'!$5:$5</definedName>
    <definedName name="_xlnm.Print_Area" localSheetId="0">'РАЗВЕРНУТЫЙ'!$A$1:$O$213</definedName>
    <definedName name="Область_печати_ИМ">#REF!</definedName>
    <definedName name="С55" localSheetId="0">#REF!</definedName>
    <definedName name="С55">#REF!</definedName>
  </definedNames>
  <calcPr fullCalcOnLoad="1"/>
</workbook>
</file>

<file path=xl/comments1.xml><?xml version="1.0" encoding="utf-8"?>
<comments xmlns="http://schemas.openxmlformats.org/spreadsheetml/2006/main">
  <authors>
    <author>Евгения Рощина</author>
  </authors>
  <commentList>
    <comment ref="B126" authorId="0">
      <text>
        <r>
          <rPr>
            <b/>
            <sz val="9"/>
            <rFont val="Tahoma"/>
            <family val="2"/>
          </rPr>
          <t>Евгения Рощина:</t>
        </r>
        <r>
          <rPr>
            <sz val="9"/>
            <rFont val="Tahoma"/>
            <family val="2"/>
          </rPr>
          <t xml:space="preserve">
м.б.+ 24329
</t>
        </r>
      </text>
    </comment>
  </commentList>
</comments>
</file>

<file path=xl/sharedStrings.xml><?xml version="1.0" encoding="utf-8"?>
<sst xmlns="http://schemas.openxmlformats.org/spreadsheetml/2006/main" count="231" uniqueCount="166">
  <si>
    <t>Показатель</t>
  </si>
  <si>
    <t>Общий объем доходов</t>
  </si>
  <si>
    <t>из них:</t>
  </si>
  <si>
    <t>Общий объем расходов</t>
  </si>
  <si>
    <t xml:space="preserve">Профицит (+), дефицит (-) </t>
  </si>
  <si>
    <t>в том числе:</t>
  </si>
  <si>
    <t>Субвенции бюджетам муниципальных районов на выполнение передаваемых полномочий по расчету и предоставлению дотации бюджетам поселений</t>
  </si>
  <si>
    <t>Общегосударственные вопросы</t>
  </si>
  <si>
    <t>Жилищно-коммунальное хозяйство</t>
  </si>
  <si>
    <t>Образование</t>
  </si>
  <si>
    <t>Безвозмездные поступления</t>
  </si>
  <si>
    <t>Налоговые и неналоговые доходы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</si>
  <si>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</si>
  <si>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Обслуживание муниципального долга</t>
  </si>
  <si>
    <t>Межбюджетные трансферты общего характера бюджетам муниципальных образований</t>
  </si>
  <si>
    <t>платные услуги</t>
  </si>
  <si>
    <t>0701</t>
  </si>
  <si>
    <t>0702</t>
  </si>
  <si>
    <t>0707</t>
  </si>
  <si>
    <t>0709</t>
  </si>
  <si>
    <t>их них целевые</t>
  </si>
  <si>
    <t>из них платные услуги</t>
  </si>
  <si>
    <t>1001</t>
  </si>
  <si>
    <t>1002</t>
  </si>
  <si>
    <t>1003</t>
  </si>
  <si>
    <t>1004</t>
  </si>
  <si>
    <t>из них целевые</t>
  </si>
  <si>
    <t>0103</t>
  </si>
  <si>
    <t>0104</t>
  </si>
  <si>
    <t>0113</t>
  </si>
  <si>
    <t>0111</t>
  </si>
  <si>
    <t>0105</t>
  </si>
  <si>
    <t>из них бюджет</t>
  </si>
  <si>
    <t>целевые (0203)</t>
  </si>
  <si>
    <t>0409</t>
  </si>
  <si>
    <t>0412</t>
  </si>
  <si>
    <t>0501</t>
  </si>
  <si>
    <t>0502</t>
  </si>
  <si>
    <t>0405</t>
  </si>
  <si>
    <t xml:space="preserve"> из них бюджет</t>
  </si>
  <si>
    <t>0503</t>
  </si>
  <si>
    <t xml:space="preserve">Образование, в т.ч.                                         </t>
  </si>
  <si>
    <t>Жилищно-коммунальное хозяйство, в т.ч.</t>
  </si>
  <si>
    <t>Национальная экономика, в т.ч.</t>
  </si>
  <si>
    <t>Национальная оборона, в т.ч.</t>
  </si>
  <si>
    <t>Общегосударственные вопросы, в т.ч.</t>
  </si>
  <si>
    <t>0801</t>
  </si>
  <si>
    <t>0804</t>
  </si>
  <si>
    <t>их них бюджет</t>
  </si>
  <si>
    <t xml:space="preserve">Культура, кинематография,   в т.ч.         </t>
  </si>
  <si>
    <t>Социальная политика, в т.ч.</t>
  </si>
  <si>
    <t>Физическая культура и спорт, в т.ч.</t>
  </si>
  <si>
    <t>1102</t>
  </si>
  <si>
    <t>Обслуживание муниципального долга, в т.ч.</t>
  </si>
  <si>
    <t>1301</t>
  </si>
  <si>
    <t>Межбюджетные трансферты общего характера бюджетам муниципальных образований, в т.ч.</t>
  </si>
  <si>
    <t>Национальная оборона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</si>
  <si>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</si>
  <si>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</si>
  <si>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</si>
  <si>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</si>
  <si>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НДФЛ</t>
  </si>
  <si>
    <t xml:space="preserve">Единый налог на вмененный доход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</si>
  <si>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</si>
  <si>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</si>
  <si>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</si>
  <si>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Доходы, получаемые в виде арендной платы за  земельных участков</t>
  </si>
  <si>
    <t>Доходы от сдачи в аренду имущества</t>
  </si>
  <si>
    <t>Прочие доходы от использования имушества</t>
  </si>
  <si>
    <t xml:space="preserve">Доходы от оказания платных услуг </t>
  </si>
  <si>
    <t>Доходы от компенсации затрат государства</t>
  </si>
  <si>
    <t>Штрафы, санкции, возмещение ущерба</t>
  </si>
  <si>
    <t>Прочие неналоговые доходы</t>
  </si>
  <si>
    <t>ДОТАЦИИ  бюджетам муниципальных районов на выравнивание бюджетной обеспеченности</t>
  </si>
  <si>
    <t xml:space="preserve">ПРОЧИЕ БЕЗВОЗМЕЗДНЫЕ ПОСТУПЛЕНИЯ в бюджеты муниципальных районов </t>
  </si>
  <si>
    <t>Платежи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</si>
  <si>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</si>
  <si>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</si>
  <si>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Национальная безопасность и правоохранительная деятельность, в т.ч.</t>
  </si>
  <si>
    <t>Неналоговые доходы, в т.ч.</t>
  </si>
  <si>
    <t>Налоговые доходы, в т.ч.</t>
  </si>
  <si>
    <t>СУБСИДИИ, ВСЕГО</t>
  </si>
  <si>
    <t>СУБВЕНЦИИ, ВСЕГО</t>
  </si>
  <si>
    <t>0106</t>
  </si>
  <si>
    <t>0401</t>
  </si>
  <si>
    <t>0107</t>
  </si>
  <si>
    <t>0703</t>
  </si>
  <si>
    <t>* Справочно (расходы бюджет):</t>
  </si>
  <si>
    <t>№ стр</t>
  </si>
  <si>
    <t>0701 "Дошкольное образование"</t>
  </si>
  <si>
    <t>0702 "Общее образование"</t>
  </si>
  <si>
    <t>0703 "Дополнительное образование</t>
  </si>
  <si>
    <t>0707 "Молодежная политика"</t>
  </si>
  <si>
    <t>0709 "Другие вопросы в области образования"</t>
  </si>
  <si>
    <t>0705</t>
  </si>
  <si>
    <t>0705 "Профессиональная подготовка, переподготовка и повышение квалификации"</t>
  </si>
  <si>
    <t>1001 "Пенсионное обеспечение"</t>
  </si>
  <si>
    <t>1002 "Социальное обслуживание населения"</t>
  </si>
  <si>
    <t>1003 "Социальное обеспечение населения"</t>
  </si>
  <si>
    <t>1004 "Охрана семьи и детства"</t>
  </si>
  <si>
    <t>1102 "Массовый спорт"</t>
  </si>
  <si>
    <t>1301 "Обслуживание государственного внутреннего и муниципального долга"</t>
  </si>
  <si>
    <t>1401 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</si>
  <si>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</si>
  <si>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0801 "Культура"</t>
  </si>
  <si>
    <t>0804 "Другие вопросы в области культуры, кинематографии"</t>
  </si>
  <si>
    <t>0501 "Жилищное хозяйство"</t>
  </si>
  <si>
    <t>0502 "Коммунальное хозяйство"</t>
  </si>
  <si>
    <t>0503 "Благоустройство"</t>
  </si>
  <si>
    <t>0401 "Общеэкономические вопросы"</t>
  </si>
  <si>
    <t>0405 "Сельское хозяйство и рыболовство"</t>
  </si>
  <si>
    <t>0409 "Дорожное хозяйство (дорожные фонды)"</t>
  </si>
  <si>
    <t>0412 "Другие вопросы в области национальной экономики"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</si>
  <si>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</si>
  <si>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0104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</si>
  <si>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0105 "Судебная система"</t>
  </si>
  <si>
    <t>0106 "Обеспечение деятельности финансовых, налоговых и таможенных органов и органов финансового (финансово-бюджетного) надзора"</t>
  </si>
  <si>
    <t>0111 "Резервные фонды"</t>
  </si>
  <si>
    <t>0113 "Другие общегосударственные вопросы"</t>
  </si>
  <si>
    <t>1006</t>
  </si>
  <si>
    <t>1006 "Другие вопросы в области социальной политики"</t>
  </si>
  <si>
    <t>1101 "Физическая культура"</t>
  </si>
  <si>
    <t>1101</t>
  </si>
  <si>
    <t>0314 "Другие вопросы в области национальной безопасности и правоохранительной деятельности"</t>
  </si>
  <si>
    <t>1105" Другие вопросы в области физической культуры и спорта "</t>
  </si>
  <si>
    <t>Дотации бюджетам муниципальных районов на поддержку мер по обеспечению сбалансированности бюджетов</t>
  </si>
  <si>
    <t>ИНЫЕ МЕЖБЮДЖЕТНЫЕ ТРАНСФЕРТЫ,
в т.ч.</t>
  </si>
  <si>
    <t>из них бюджет (1301)</t>
  </si>
  <si>
    <t>из них платные услуги (0801)</t>
  </si>
  <si>
    <t>0408</t>
  </si>
  <si>
    <t>0408 "Транспорт"</t>
  </si>
  <si>
    <t>х</t>
  </si>
  <si>
    <t>в том числе: бюджет (налоговые, неналоговые доходы,субсидии в части з.пл, ИМТ поселений полностью)</t>
  </si>
  <si>
    <t>Межбюджетные трансферты, передаваемые бюджетам муниципальных районов из бюджета Республики Карелия</t>
  </si>
  <si>
    <t>7</t>
  </si>
  <si>
    <t>0310 "Защита населения и территории от чрезвычайных ситуаций природного и техногенного характера, пожарная безопасность"</t>
  </si>
  <si>
    <t xml:space="preserve">Прочие безвозмездные поступления от нерезидентов в бюджеты муниципальных районов   </t>
  </si>
  <si>
    <t>Возврат остатков субсидий, субвенций  и иных межбюджетных трансфертов, имеющих целевое назначение, прошлых лет (218,219)</t>
  </si>
  <si>
    <t>Проект Решения на 2024 год</t>
  </si>
  <si>
    <t>10=9-7</t>
  </si>
  <si>
    <t>в том числе: безвозмездные поступления, платные услуги, доходы от сдачи в аренду имущества (в сопоставимых условиях)</t>
  </si>
  <si>
    <t>2021 год
(отчет)</t>
  </si>
  <si>
    <t>Проект Решения на 2025 год</t>
  </si>
  <si>
    <t>3</t>
  </si>
  <si>
    <t>5=4-3</t>
  </si>
  <si>
    <t>Акцизы</t>
  </si>
  <si>
    <t>УСН</t>
  </si>
  <si>
    <t>из них:субсидии в части з.пл.</t>
  </si>
  <si>
    <t>3.</t>
  </si>
  <si>
    <t>Проценты, полученные от предоставления бюджетных кредитов внутри страны за счет средств бюджетов муниципальных районов</t>
  </si>
  <si>
    <t>в том числе: условно утвержденные расходы (2024год - не менее 2,5%, 2025 год - 5%)</t>
  </si>
  <si>
    <t>2022 год
(отчет)</t>
  </si>
  <si>
    <t>Отклонение
(план 2023 года к отчету 2022 года)</t>
  </si>
  <si>
    <t>Плановые назначения
на 2023 год
(с учетом изменений на 01.09.2023)</t>
  </si>
  <si>
    <t>1402</t>
  </si>
  <si>
    <t>1402 "Иные дотации"</t>
  </si>
  <si>
    <t xml:space="preserve">Предварительные обоснования
на 2024 год </t>
  </si>
  <si>
    <t>Отклонение
(предв.обоснования 2024 года к оценке 2023 года)</t>
  </si>
  <si>
    <t>Темп роста 2024 года к оценке 2023 года</t>
  </si>
  <si>
    <t>Предварительные обоснования
на 2025 год</t>
  </si>
  <si>
    <t xml:space="preserve">Предварительные обоснования
на 2026 год </t>
  </si>
  <si>
    <t>Проект Решения на 2026 год</t>
  </si>
  <si>
    <t xml:space="preserve">Предварительная оценка
на 2023 год
</t>
  </si>
  <si>
    <t>ПРОЧИЕ ДОТАЦИИ</t>
  </si>
  <si>
    <t>в том числе: целевые (субсидии, субвенции, иные МБТ)</t>
  </si>
  <si>
    <t xml:space="preserve">Основные параметры бюджета Кондопожского муниципального района на 2024 год и плановый период 2025-2026 г.г. 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</si>
</sst>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_)"/>
    <numFmt numFmtId="176" formatCode="dd/mm/yy;@"/>
    <numFmt numFmtId="177" formatCode="dd\ mmm\ yy"/>
    <numFmt numFmtId="178" formatCode="0;[Red]0"/>
    <numFmt numFmtId="179" formatCode="#,##0.0"/>
    <numFmt numFmtId="180" formatCode="#,##0_ ;[Red]\-#,##0\ "/>
    <numFmt numFmtId="181" formatCode="#,##0.0_ ;[Red]\-#,##0.0\ "/>
    <numFmt numFmtId="182" formatCode="#,##0;[Red]\-#,##0;0"/>
    <numFmt numFmtId="183" formatCode="0%;[Red]\-0%"/>
    <numFmt numFmtId="184" formatCode="#,##0.0;[Red]\-#,##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"/>
    <numFmt numFmtId="191" formatCode="000"/>
    <numFmt numFmtId="192" formatCode="0.00000000"/>
    <numFmt numFmtId="193" formatCode="0.000000000"/>
    <numFmt numFmtId="194" formatCode="0.000000"/>
    <numFmt numFmtId="195" formatCode="0.00000"/>
    <numFmt numFmtId="196" formatCode="0.0000"/>
    <numFmt numFmtId="197" formatCode="0.0000000"/>
    <numFmt numFmtId="198" formatCode="0.0000000000"/>
    <numFmt numFmtId="199" formatCode="0.00000000000"/>
    <numFmt numFmtId="200" formatCode="0.000000000000"/>
    <numFmt numFmtId="201" formatCode="#,##0.00_ ;[Red]\-#,##0.00\ "/>
    <numFmt numFmtId="202" formatCode="#,##0.00&quot;р.&quot;"/>
    <numFmt numFmtId="203" formatCode="#,##0.000_ ;[Red]\-#,##0.000\ "/>
    <numFmt numFmtId="204" formatCode="#,##0.0000_ ;[Red]\-#,##0.0000\ "/>
    <numFmt numFmtId="205" formatCode="#,##0.00000_ ;[Red]\-#,##0.00000\ "/>
    <numFmt numFmtId="206" formatCode="#,##0.000000_ ;[Red]\-#,##0.000000\ "/>
    <numFmt numFmtId="207" formatCode="#,##0.0000000_ ;[Red]\-#,##0.0000000\ "/>
    <numFmt numFmtId="208" formatCode="#,##0.00000000_ ;[Red]\-#,##0.00000000\ "/>
    <numFmt numFmtId="209" formatCode="#,##0.000000000_ ;[Red]\-#,##0.000000000\ "/>
    <numFmt numFmtId="210" formatCode="#,##0.000000"/>
    <numFmt numFmtId="211" formatCode="#,##0.00000"/>
    <numFmt numFmtId="212" formatCode="#,##0.0000"/>
    <numFmt numFmtId="213" formatCode="#,##0.000"/>
    <numFmt numFmtId="214" formatCode="0.00000%"/>
    <numFmt numFmtId="215" formatCode="0.0%"/>
    <numFmt numFmtId="216" formatCode="#,##0.0000000"/>
    <numFmt numFmtId="217" formatCode="#,##0.00000000"/>
    <numFmt numFmtId="218" formatCode="#,##0.000000000"/>
    <numFmt numFmtId="219" formatCode="#,##0.0000000000"/>
    <numFmt numFmtId="220" formatCode="[$-FC19]d\ mmmm\ yyyy\ &quot;г.&quot;"/>
    <numFmt numFmtId="221" formatCode="#,##0.00000000000"/>
    <numFmt numFmtId="222" formatCode="#,##0.000000000000"/>
    <numFmt numFmtId="223" formatCode="#,##0.0000000000000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u val="single"/>
      <sz val="10"/>
      <color indexed="36"/>
      <name val="Times New Roman"/>
      <family val="1"/>
    </font>
    <font>
      <sz val="10"/>
      <color indexed="62"/>
      <name val="Arial Cyr"/>
      <family val="0"/>
    </font>
    <font>
      <sz val="10"/>
      <color indexed="6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  <font>
      <b/>
      <sz val="8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3" applyNumberFormat="0">
      <alignment horizontal="right" vertical="top"/>
      <protection locked="0"/>
    </xf>
    <xf numFmtId="0" fontId="2" fillId="0" borderId="3" applyNumberFormat="0">
      <alignment horizontal="right" vertical="top"/>
      <protection/>
    </xf>
    <xf numFmtId="0" fontId="2" fillId="28" borderId="3" applyNumberFormat="0">
      <alignment horizontal="right" vertical="top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" fontId="0" fillId="0" borderId="4">
      <alignment/>
      <protection/>
    </xf>
    <xf numFmtId="0" fontId="0" fillId="0" borderId="4">
      <alignment horizontal="left"/>
      <protection/>
    </xf>
    <xf numFmtId="49" fontId="2" fillId="29" borderId="3">
      <alignment horizontal="left" vertical="top"/>
      <protection/>
    </xf>
    <xf numFmtId="49" fontId="3" fillId="0" borderId="3">
      <alignment horizontal="left" vertical="top"/>
      <protection/>
    </xf>
    <xf numFmtId="49" fontId="0" fillId="29" borderId="3">
      <alignment horizontal="left" vertical="top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2" fillId="3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3" fillId="0" borderId="8" applyNumberFormat="0" applyFill="0" applyAlignment="0" applyProtection="0"/>
    <xf numFmtId="0" fontId="44" fillId="35" borderId="9" applyNumberFormat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0" borderId="10" applyNumberFormat="0">
      <alignment horizontal="right" vertical="top"/>
      <protection/>
    </xf>
    <xf numFmtId="0" fontId="2" fillId="31" borderId="10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0" fillId="31" borderId="10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0" fillId="30" borderId="10" applyNumberFormat="0">
      <alignment horizontal="right" vertical="top"/>
      <protection/>
    </xf>
    <xf numFmtId="0" fontId="2" fillId="32" borderId="10" applyNumberFormat="0">
      <alignment horizontal="right" vertical="top"/>
      <protection locked="0"/>
    </xf>
    <xf numFmtId="0" fontId="2" fillId="0" borderId="3" applyNumberFormat="0">
      <alignment horizontal="right" vertical="top"/>
      <protection locked="0"/>
    </xf>
    <xf numFmtId="0" fontId="0" fillId="32" borderId="10" applyNumberFormat="0">
      <alignment horizontal="right" vertical="top"/>
      <protection locked="0"/>
    </xf>
    <xf numFmtId="0" fontId="5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0" fillId="0" borderId="0" applyFont="0" applyFill="0" applyBorder="0" applyAlignment="0" applyProtection="0"/>
    <xf numFmtId="49" fontId="6" fillId="39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49" fontId="7" fillId="39" borderId="3">
      <alignment horizontal="left" vertical="top" wrapText="1"/>
      <protection/>
    </xf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0" borderId="0" applyNumberFormat="0" applyBorder="0" applyAlignment="0" applyProtection="0"/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104">
    <xf numFmtId="0" fontId="0" fillId="0" borderId="0" xfId="0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 indent="1"/>
    </xf>
    <xf numFmtId="2" fontId="11" fillId="41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left" vertical="center" wrapText="1" indent="4"/>
    </xf>
    <xf numFmtId="2" fontId="12" fillId="0" borderId="4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>
      <alignment horizontal="left" vertical="center" wrapText="1"/>
    </xf>
    <xf numFmtId="2" fontId="11" fillId="41" borderId="17" xfId="0" applyNumberFormat="1" applyFont="1" applyFill="1" applyBorder="1" applyAlignment="1">
      <alignment horizontal="left" vertical="center" wrapText="1"/>
    </xf>
    <xf numFmtId="2" fontId="10" fillId="41" borderId="18" xfId="0" applyNumberFormat="1" applyFont="1" applyFill="1" applyBorder="1" applyAlignment="1">
      <alignment horizontal="left" vertical="center" wrapText="1"/>
    </xf>
    <xf numFmtId="2" fontId="10" fillId="41" borderId="4" xfId="0" applyNumberFormat="1" applyFont="1" applyFill="1" applyBorder="1" applyAlignment="1">
      <alignment horizontal="left" vertical="center" wrapText="1"/>
    </xf>
    <xf numFmtId="2" fontId="10" fillId="41" borderId="15" xfId="0" applyNumberFormat="1" applyFont="1" applyFill="1" applyBorder="1" applyAlignment="1">
      <alignment horizontal="left" vertical="center" wrapText="1"/>
    </xf>
    <xf numFmtId="2" fontId="10" fillId="41" borderId="4" xfId="0" applyNumberFormat="1" applyFont="1" applyFill="1" applyBorder="1" applyAlignment="1">
      <alignment horizontal="left" vertical="center" wrapText="1" indent="3"/>
    </xf>
    <xf numFmtId="2" fontId="11" fillId="41" borderId="4" xfId="0" applyNumberFormat="1" applyFont="1" applyFill="1" applyBorder="1" applyAlignment="1">
      <alignment horizontal="left" vertical="center" wrapText="1" indent="4"/>
    </xf>
    <xf numFmtId="2" fontId="13" fillId="41" borderId="4" xfId="0" applyNumberFormat="1" applyFont="1" applyFill="1" applyBorder="1" applyAlignment="1">
      <alignment horizontal="center" vertical="center" wrapText="1"/>
    </xf>
    <xf numFmtId="2" fontId="11" fillId="41" borderId="4" xfId="0" applyNumberFormat="1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41" borderId="15" xfId="0" applyNumberFormat="1" applyFont="1" applyFill="1" applyBorder="1" applyAlignment="1">
      <alignment horizontal="center" vertical="center" wrapText="1"/>
    </xf>
    <xf numFmtId="49" fontId="11" fillId="41" borderId="4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2" fontId="11" fillId="0" borderId="4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vertical="center"/>
    </xf>
    <xf numFmtId="185" fontId="10" fillId="0" borderId="0" xfId="0" applyNumberFormat="1" applyFont="1" applyFill="1" applyAlignment="1">
      <alignment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42" borderId="1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41" borderId="4" xfId="0" applyNumberFormat="1" applyFont="1" applyFill="1" applyBorder="1" applyAlignment="1">
      <alignment horizontal="center" vertical="center" wrapText="1"/>
    </xf>
    <xf numFmtId="4" fontId="11" fillId="41" borderId="17" xfId="0" applyNumberFormat="1" applyFont="1" applyFill="1" applyBorder="1" applyAlignment="1">
      <alignment horizontal="center" vertical="center" wrapText="1"/>
    </xf>
    <xf numFmtId="4" fontId="11" fillId="41" borderId="18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" fontId="10" fillId="41" borderId="4" xfId="0" applyNumberFormat="1" applyFont="1" applyFill="1" applyBorder="1" applyAlignment="1">
      <alignment horizontal="center" vertical="center" wrapText="1"/>
    </xf>
    <xf numFmtId="4" fontId="52" fillId="42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2" fontId="12" fillId="43" borderId="0" xfId="0" applyNumberFormat="1" applyFont="1" applyFill="1" applyBorder="1" applyAlignment="1">
      <alignment horizontal="center" vertical="center" wrapText="1"/>
    </xf>
    <xf numFmtId="4" fontId="10" fillId="41" borderId="0" xfId="0" applyNumberFormat="1" applyFont="1" applyFill="1" applyBorder="1" applyAlignment="1">
      <alignment horizontal="center" vertical="center"/>
    </xf>
    <xf numFmtId="4" fontId="10" fillId="41" borderId="19" xfId="0" applyNumberFormat="1" applyFont="1" applyFill="1" applyBorder="1" applyAlignment="1">
      <alignment horizontal="center" vertical="center"/>
    </xf>
    <xf numFmtId="4" fontId="10" fillId="41" borderId="14" xfId="0" applyNumberFormat="1" applyFont="1" applyFill="1" applyBorder="1" applyAlignment="1">
      <alignment horizontal="center" vertical="center" wrapText="1"/>
    </xf>
    <xf numFmtId="49" fontId="8" fillId="41" borderId="18" xfId="0" applyNumberFormat="1" applyFont="1" applyFill="1" applyBorder="1" applyAlignment="1">
      <alignment horizontal="center" vertical="center" wrapText="1"/>
    </xf>
    <xf numFmtId="4" fontId="12" fillId="41" borderId="4" xfId="0" applyNumberFormat="1" applyFont="1" applyFill="1" applyBorder="1" applyAlignment="1">
      <alignment horizontal="center" vertical="center" wrapText="1"/>
    </xf>
    <xf numFmtId="4" fontId="12" fillId="41" borderId="0" xfId="0" applyNumberFormat="1" applyFont="1" applyFill="1" applyBorder="1" applyAlignment="1">
      <alignment horizontal="center" vertical="center" wrapText="1"/>
    </xf>
    <xf numFmtId="4" fontId="10" fillId="41" borderId="0" xfId="0" applyNumberFormat="1" applyFont="1" applyFill="1" applyAlignment="1">
      <alignment horizontal="center" vertical="center"/>
    </xf>
    <xf numFmtId="49" fontId="10" fillId="0" borderId="0" xfId="71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42" borderId="18" xfId="0" applyNumberFormat="1" applyFont="1" applyFill="1" applyBorder="1" applyAlignment="1">
      <alignment horizontal="center" vertical="center" wrapText="1"/>
    </xf>
    <xf numFmtId="195" fontId="10" fillId="0" borderId="4" xfId="0" applyNumberFormat="1" applyFont="1" applyFill="1" applyBorder="1" applyAlignment="1">
      <alignment horizontal="center" vertical="center" wrapText="1"/>
    </xf>
    <xf numFmtId="195" fontId="11" fillId="0" borderId="4" xfId="0" applyNumberFormat="1" applyFont="1" applyFill="1" applyBorder="1" applyAlignment="1">
      <alignment horizontal="left" vertical="center" wrapText="1"/>
    </xf>
    <xf numFmtId="195" fontId="11" fillId="0" borderId="0" xfId="0" applyNumberFormat="1" applyFont="1" applyFill="1" applyAlignment="1">
      <alignment vertical="center"/>
    </xf>
    <xf numFmtId="0" fontId="16" fillId="0" borderId="0" xfId="0" applyFont="1" applyAlignment="1">
      <alignment/>
    </xf>
    <xf numFmtId="216" fontId="10" fillId="0" borderId="0" xfId="0" applyNumberFormat="1" applyFont="1" applyFill="1" applyAlignment="1">
      <alignment horizontal="center" vertical="center"/>
    </xf>
    <xf numFmtId="4" fontId="11" fillId="43" borderId="4" xfId="0" applyNumberFormat="1" applyFont="1" applyFill="1" applyBorder="1" applyAlignment="1">
      <alignment horizontal="center" vertical="center" wrapText="1"/>
    </xf>
    <xf numFmtId="195" fontId="11" fillId="0" borderId="4" xfId="0" applyNumberFormat="1" applyFont="1" applyFill="1" applyBorder="1" applyAlignment="1">
      <alignment horizontal="center" vertical="center" wrapText="1"/>
    </xf>
    <xf numFmtId="211" fontId="11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10" fontId="11" fillId="0" borderId="4" xfId="0" applyNumberFormat="1" applyFont="1" applyFill="1" applyBorder="1" applyAlignment="1">
      <alignment horizontal="center" vertical="center" wrapText="1"/>
    </xf>
    <xf numFmtId="211" fontId="10" fillId="0" borderId="4" xfId="0" applyNumberFormat="1" applyFont="1" applyFill="1" applyBorder="1" applyAlignment="1">
      <alignment horizontal="center" vertical="center" wrapText="1"/>
    </xf>
    <xf numFmtId="212" fontId="10" fillId="0" borderId="4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195" fontId="10" fillId="0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10" fontId="11" fillId="0" borderId="16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" fontId="10" fillId="43" borderId="4" xfId="0" applyNumberFormat="1" applyFont="1" applyFill="1" applyBorder="1" applyAlignment="1">
      <alignment horizontal="center" vertical="center" wrapText="1"/>
    </xf>
    <xf numFmtId="210" fontId="11" fillId="0" borderId="4" xfId="0" applyNumberFormat="1" applyFont="1" applyFill="1" applyBorder="1" applyAlignment="1">
      <alignment horizontal="center" vertical="center" wrapText="1"/>
    </xf>
    <xf numFmtId="4" fontId="11" fillId="41" borderId="20" xfId="0" applyNumberFormat="1" applyFont="1" applyFill="1" applyBorder="1" applyAlignment="1">
      <alignment horizontal="center" vertical="center" wrapText="1"/>
    </xf>
    <xf numFmtId="4" fontId="11" fillId="42" borderId="4" xfId="0" applyNumberFormat="1" applyFont="1" applyFill="1" applyBorder="1" applyAlignment="1">
      <alignment horizontal="center" vertical="center" wrapText="1"/>
    </xf>
    <xf numFmtId="4" fontId="10" fillId="42" borderId="4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49" fontId="10" fillId="0" borderId="0" xfId="71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для вывода показателей" xfId="48"/>
    <cellStyle name="для вывода строк" xfId="49"/>
    <cellStyle name="Заголовки полей" xfId="50"/>
    <cellStyle name="Заголовки полей [печать]" xfId="51"/>
    <cellStyle name="Заголовки полей_МБТ2 2006-2010" xfId="52"/>
    <cellStyle name="Заголовок 1" xfId="53"/>
    <cellStyle name="Заголовок 2" xfId="54"/>
    <cellStyle name="Заголовок 3" xfId="55"/>
    <cellStyle name="Заголовок 4" xfId="56"/>
    <cellStyle name="Заголовок меры" xfId="57"/>
    <cellStyle name="Заголовок показателя [печать]" xfId="58"/>
    <cellStyle name="Заголовок показателя константы" xfId="59"/>
    <cellStyle name="Заголовок результата расчета" xfId="60"/>
    <cellStyle name="Заголовок свободного показателя" xfId="61"/>
    <cellStyle name="Значение фильтра" xfId="62"/>
    <cellStyle name="Значение фильтра [печать]" xfId="63"/>
    <cellStyle name="Значение фильтра_МБТ2 2006-2010" xfId="64"/>
    <cellStyle name="Информация о задаче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Доходы2007" xfId="71"/>
    <cellStyle name="Отдельная ячейка" xfId="72"/>
    <cellStyle name="Отдельная ячейка - константа" xfId="73"/>
    <cellStyle name="Отдельная ячейка - константа [печать]" xfId="74"/>
    <cellStyle name="Отдельная ячейка - константа_МБТ2 2006-2010" xfId="75"/>
    <cellStyle name="Отдельная ячейка [печать]" xfId="76"/>
    <cellStyle name="Отдельная ячейка_МБТ2 2006-2010" xfId="77"/>
    <cellStyle name="Отдельная ячейка-результат" xfId="78"/>
    <cellStyle name="Отдельная ячейка-результат [печать]" xfId="79"/>
    <cellStyle name="Отдельная ячейка-результат_МБТ2 2006-2010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ойства элементов измерения" xfId="86"/>
    <cellStyle name="Свойства элементов измерения [печать]" xfId="87"/>
    <cellStyle name="Свойства элементов измерения_МБТ2 2006-2010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  <cellStyle name="Элементы осей" xfId="94"/>
    <cellStyle name="Элементы осей [печать]" xfId="95"/>
    <cellStyle name="Элементы осей_МБТ2 2006-2010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\Home\&#1045;&#1078;&#1077;&#1084;&#1077;&#1089;%20&#1092;&#1086;&#1088;&#1084;&#1099;\2004\&#1060;&#1086;&#1088;&#1084;&#1072;%20&#8470;9(&#1077;&#1078;&#1077;&#1084;&#1077;&#1089;&#1103;&#1095;&#1085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"/>
      <sheetName val="сент"/>
      <sheetName val="окт"/>
      <sheetName val="ноябрь"/>
      <sheetName val="декабрь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2"/>
  <sheetViews>
    <sheetView tabSelected="1" view="pageBreakPreview" zoomScale="65" zoomScaleNormal="75" zoomScaleSheetLayoutView="65" workbookViewId="0" topLeftCell="A1">
      <pane xSplit="2" ySplit="6" topLeftCell="C1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3" sqref="L13"/>
    </sheetView>
  </sheetViews>
  <sheetFormatPr defaultColWidth="9.33203125" defaultRowHeight="12.75"/>
  <cols>
    <col min="1" max="1" width="9.83203125" style="42" customWidth="1"/>
    <col min="2" max="2" width="71.33203125" style="48" customWidth="1"/>
    <col min="3" max="4" width="32.5" style="45" customWidth="1"/>
    <col min="5" max="5" width="35.16015625" style="45" customWidth="1"/>
    <col min="6" max="6" width="27.83203125" style="45" customWidth="1"/>
    <col min="7" max="7" width="32.5" style="74" customWidth="1"/>
    <col min="8" max="8" width="28.66015625" style="45" customWidth="1"/>
    <col min="9" max="9" width="22.5" style="45" hidden="1" customWidth="1"/>
    <col min="10" max="10" width="22.5" style="48" hidden="1" customWidth="1"/>
    <col min="11" max="11" width="35.5" style="48" customWidth="1"/>
    <col min="12" max="12" width="29.66015625" style="45" customWidth="1"/>
    <col min="13" max="13" width="34.5" style="48" customWidth="1"/>
    <col min="14" max="14" width="31.66015625" style="48" customWidth="1"/>
    <col min="15" max="15" width="30.66015625" style="48" customWidth="1"/>
    <col min="16" max="16384" width="9.33203125" style="29" customWidth="1"/>
  </cols>
  <sheetData>
    <row r="1" spans="1:15" ht="20.25">
      <c r="A1" s="24"/>
      <c r="B1" s="25"/>
      <c r="C1" s="26"/>
      <c r="D1" s="26"/>
      <c r="E1" s="26"/>
      <c r="F1" s="26"/>
      <c r="G1" s="68"/>
      <c r="H1" s="26"/>
      <c r="I1" s="26"/>
      <c r="J1" s="27"/>
      <c r="K1" s="27"/>
      <c r="L1" s="26"/>
      <c r="M1" s="27"/>
      <c r="N1" s="27"/>
      <c r="O1" s="28"/>
    </row>
    <row r="2" spans="1:15" ht="27.75" customHeight="1">
      <c r="A2" s="24"/>
      <c r="B2" s="27"/>
      <c r="C2" s="26"/>
      <c r="D2" s="26"/>
      <c r="E2" s="26"/>
      <c r="F2" s="26"/>
      <c r="G2" s="68"/>
      <c r="H2" s="26"/>
      <c r="I2" s="102"/>
      <c r="J2" s="102"/>
      <c r="K2" s="102"/>
      <c r="L2" s="102"/>
      <c r="M2" s="102"/>
      <c r="N2" s="102"/>
      <c r="O2" s="75"/>
    </row>
    <row r="3" spans="1:15" ht="64.5" customHeight="1">
      <c r="A3" s="103" t="s">
        <v>165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76"/>
    </row>
    <row r="4" spans="1:15" ht="18.75" customHeight="1">
      <c r="A4" s="30"/>
      <c r="B4" s="31"/>
      <c r="C4" s="32"/>
      <c r="D4" s="32"/>
      <c r="E4" s="32"/>
      <c r="F4" s="32"/>
      <c r="G4" s="69"/>
      <c r="H4" s="32"/>
      <c r="I4" s="32"/>
      <c r="J4" s="31"/>
      <c r="K4" s="31"/>
      <c r="L4" s="32"/>
      <c r="M4" s="31"/>
      <c r="N4" s="31"/>
      <c r="O4" s="27"/>
    </row>
    <row r="5" spans="1:15" s="33" customFormat="1" ht="132.75" customHeight="1" thickBot="1">
      <c r="A5" s="2" t="s">
        <v>88</v>
      </c>
      <c r="B5" s="3" t="s">
        <v>0</v>
      </c>
      <c r="C5" s="20" t="s">
        <v>141</v>
      </c>
      <c r="D5" s="20" t="s">
        <v>151</v>
      </c>
      <c r="E5" s="23" t="s">
        <v>153</v>
      </c>
      <c r="F5" s="20" t="s">
        <v>152</v>
      </c>
      <c r="G5" s="70" t="s">
        <v>162</v>
      </c>
      <c r="H5" s="23" t="s">
        <v>156</v>
      </c>
      <c r="I5" s="20" t="s">
        <v>157</v>
      </c>
      <c r="J5" s="4" t="s">
        <v>158</v>
      </c>
      <c r="K5" s="52" t="s">
        <v>138</v>
      </c>
      <c r="L5" s="23" t="s">
        <v>159</v>
      </c>
      <c r="M5" s="52" t="s">
        <v>142</v>
      </c>
      <c r="N5" s="23" t="s">
        <v>160</v>
      </c>
      <c r="O5" s="52" t="s">
        <v>161</v>
      </c>
    </row>
    <row r="6" spans="1:15" s="62" customFormat="1" ht="19.5" customHeight="1">
      <c r="A6" s="58">
        <v>1</v>
      </c>
      <c r="B6" s="58">
        <v>2</v>
      </c>
      <c r="C6" s="59" t="s">
        <v>143</v>
      </c>
      <c r="D6" s="59" t="s">
        <v>143</v>
      </c>
      <c r="E6" s="60">
        <v>4</v>
      </c>
      <c r="F6" s="59" t="s">
        <v>144</v>
      </c>
      <c r="G6" s="71">
        <v>6</v>
      </c>
      <c r="H6" s="59" t="s">
        <v>134</v>
      </c>
      <c r="I6" s="59" t="s">
        <v>139</v>
      </c>
      <c r="J6" s="61">
        <v>11</v>
      </c>
      <c r="K6" s="78">
        <v>8</v>
      </c>
      <c r="L6" s="77">
        <v>9</v>
      </c>
      <c r="M6" s="78">
        <v>10</v>
      </c>
      <c r="N6" s="77">
        <v>11</v>
      </c>
      <c r="O6" s="78">
        <v>12</v>
      </c>
    </row>
    <row r="7" spans="1:15" s="33" customFormat="1" ht="39.75" customHeight="1">
      <c r="A7" s="1">
        <v>1</v>
      </c>
      <c r="B7" s="5" t="s">
        <v>1</v>
      </c>
      <c r="C7" s="53">
        <f>C9+C31</f>
        <v>1213316.53184</v>
      </c>
      <c r="D7" s="53">
        <f>D9+D31</f>
        <v>1141386.53625</v>
      </c>
      <c r="E7" s="53">
        <f>E9+E31</f>
        <v>1270929.24468</v>
      </c>
      <c r="F7" s="53">
        <f>E7-D7</f>
        <v>129542.70843000012</v>
      </c>
      <c r="G7" s="53">
        <f>G9+G31</f>
        <v>1304620.44245</v>
      </c>
      <c r="H7" s="85">
        <f aca="true" t="shared" si="0" ref="H7:O7">SUM(H9+H31)</f>
        <v>954314.80856</v>
      </c>
      <c r="I7" s="85" t="e">
        <f t="shared" si="0"/>
        <v>#REF!</v>
      </c>
      <c r="J7" s="85" t="e">
        <f t="shared" si="0"/>
        <v>#REF!</v>
      </c>
      <c r="K7" s="85">
        <f t="shared" si="0"/>
        <v>1047285.6698899999</v>
      </c>
      <c r="L7" s="86">
        <f t="shared" si="0"/>
        <v>1028361.4727</v>
      </c>
      <c r="M7" s="85">
        <f t="shared" si="0"/>
        <v>925986.709</v>
      </c>
      <c r="N7" s="86">
        <f t="shared" si="0"/>
        <v>975110.10647</v>
      </c>
      <c r="O7" s="85">
        <f t="shared" si="0"/>
        <v>874843.32877</v>
      </c>
    </row>
    <row r="8" spans="1:15" ht="20.25">
      <c r="A8" s="1">
        <v>2</v>
      </c>
      <c r="B8" s="6" t="s">
        <v>5</v>
      </c>
      <c r="C8" s="87"/>
      <c r="D8" s="87"/>
      <c r="E8" s="87"/>
      <c r="F8" s="53">
        <f aca="true" t="shared" si="1" ref="F8:F45">E8-D8</f>
        <v>0</v>
      </c>
      <c r="G8" s="87"/>
      <c r="H8" s="79"/>
      <c r="I8" s="53"/>
      <c r="J8" s="88"/>
      <c r="K8" s="87"/>
      <c r="L8" s="87"/>
      <c r="M8" s="87"/>
      <c r="N8" s="79"/>
      <c r="O8" s="87"/>
    </row>
    <row r="9" spans="1:15" s="81" customFormat="1" ht="39.75" customHeight="1">
      <c r="A9" s="79" t="s">
        <v>148</v>
      </c>
      <c r="B9" s="80" t="s">
        <v>11</v>
      </c>
      <c r="C9" s="85">
        <f>C11+C19</f>
        <v>390167.31146999996</v>
      </c>
      <c r="D9" s="85">
        <f>D11+D19</f>
        <v>428450.1726299999</v>
      </c>
      <c r="E9" s="85">
        <f>E11+E19</f>
        <v>449210.35104</v>
      </c>
      <c r="F9" s="53">
        <f t="shared" si="1"/>
        <v>20760.17841000005</v>
      </c>
      <c r="G9" s="85">
        <f aca="true" t="shared" si="2" ref="G9:O9">G11+G19</f>
        <v>434617.9866</v>
      </c>
      <c r="H9" s="85">
        <f t="shared" si="2"/>
        <v>458636.18424</v>
      </c>
      <c r="I9" s="85" t="e">
        <f t="shared" si="2"/>
        <v>#REF!</v>
      </c>
      <c r="J9" s="85" t="e">
        <f t="shared" si="2"/>
        <v>#REF!</v>
      </c>
      <c r="K9" s="85">
        <f t="shared" si="2"/>
        <v>458636.18424</v>
      </c>
      <c r="L9" s="85">
        <f t="shared" si="2"/>
        <v>482427.9577</v>
      </c>
      <c r="M9" s="85">
        <f t="shared" si="2"/>
        <v>482248.776</v>
      </c>
      <c r="N9" s="85">
        <f t="shared" si="2"/>
        <v>505456.80647000007</v>
      </c>
      <c r="O9" s="85">
        <f t="shared" si="2"/>
        <v>505772.18477000005</v>
      </c>
    </row>
    <row r="10" spans="1:15" ht="17.25" customHeight="1">
      <c r="A10" s="1">
        <v>4</v>
      </c>
      <c r="B10" s="8" t="s">
        <v>2</v>
      </c>
      <c r="C10" s="87"/>
      <c r="D10" s="87"/>
      <c r="E10" s="87"/>
      <c r="F10" s="53"/>
      <c r="G10" s="87"/>
      <c r="H10" s="79"/>
      <c r="I10" s="53"/>
      <c r="J10" s="88"/>
      <c r="K10" s="87"/>
      <c r="L10" s="87"/>
      <c r="M10" s="87"/>
      <c r="N10" s="79"/>
      <c r="O10" s="87"/>
    </row>
    <row r="11" spans="1:15" s="33" customFormat="1" ht="39.75" customHeight="1">
      <c r="A11" s="1">
        <v>5</v>
      </c>
      <c r="B11" s="5" t="s">
        <v>80</v>
      </c>
      <c r="C11" s="53">
        <f>SUM(C12:C18)</f>
        <v>301717.00112</v>
      </c>
      <c r="D11" s="53">
        <f>SUM(D12:D18)</f>
        <v>347845.34170999995</v>
      </c>
      <c r="E11" s="53">
        <f>SUM(E12:E18)</f>
        <v>374944.09119</v>
      </c>
      <c r="F11" s="53">
        <f t="shared" si="1"/>
        <v>27098.749480000057</v>
      </c>
      <c r="G11" s="53">
        <f>G12+G15+G16+G17+G18+G13+G14</f>
        <v>356404.64649</v>
      </c>
      <c r="H11" s="85">
        <f aca="true" t="shared" si="3" ref="H11:O11">SUM(H12:H18)</f>
        <v>392434.83999999997</v>
      </c>
      <c r="I11" s="85" t="e">
        <f t="shared" si="3"/>
        <v>#REF!</v>
      </c>
      <c r="J11" s="85" t="e">
        <f t="shared" si="3"/>
        <v>#REF!</v>
      </c>
      <c r="K11" s="85">
        <f t="shared" si="3"/>
        <v>392434.83999999997</v>
      </c>
      <c r="L11" s="97">
        <f t="shared" si="3"/>
        <v>416318.94</v>
      </c>
      <c r="M11" s="85">
        <f t="shared" si="3"/>
        <v>416318.94</v>
      </c>
      <c r="N11" s="85">
        <f t="shared" si="3"/>
        <v>441671.23000000004</v>
      </c>
      <c r="O11" s="85">
        <f t="shared" si="3"/>
        <v>441671.23000000004</v>
      </c>
    </row>
    <row r="12" spans="1:15" ht="42" customHeight="1">
      <c r="A12" s="1">
        <v>6</v>
      </c>
      <c r="B12" s="9" t="s">
        <v>61</v>
      </c>
      <c r="C12" s="87">
        <v>273119.76489</v>
      </c>
      <c r="D12" s="87">
        <v>306027.69619</v>
      </c>
      <c r="E12" s="87">
        <v>343723.93</v>
      </c>
      <c r="F12" s="53">
        <f t="shared" si="1"/>
        <v>37696.233810000005</v>
      </c>
      <c r="G12" s="87">
        <v>343723.93</v>
      </c>
      <c r="H12" s="87">
        <f>595+3483+435+756+1434+2901+363170.74</f>
        <v>372774.74</v>
      </c>
      <c r="I12" s="53" t="e">
        <f>#REF!-G12</f>
        <v>#REF!</v>
      </c>
      <c r="J12" s="88" t="e">
        <f>#REF!/G12</f>
        <v>#REF!</v>
      </c>
      <c r="K12" s="87">
        <v>372774.74</v>
      </c>
      <c r="L12" s="87">
        <f>595+3484+467+756+1434+2902+386776.84</f>
        <v>396414.84</v>
      </c>
      <c r="M12" s="87">
        <f>L12</f>
        <v>396414.84</v>
      </c>
      <c r="N12" s="87">
        <f>613+3484+503+756+1434+2902+411917.33</f>
        <v>421609.33</v>
      </c>
      <c r="O12" s="87">
        <f>N12</f>
        <v>421609.33</v>
      </c>
    </row>
    <row r="13" spans="1:15" ht="42" customHeight="1">
      <c r="A13" s="1">
        <v>7</v>
      </c>
      <c r="B13" s="9" t="s">
        <v>145</v>
      </c>
      <c r="C13" s="87">
        <v>0</v>
      </c>
      <c r="D13" s="87">
        <v>810.74957</v>
      </c>
      <c r="E13" s="87">
        <v>1541.16119</v>
      </c>
      <c r="F13" s="53">
        <f t="shared" si="1"/>
        <v>730.4116200000001</v>
      </c>
      <c r="G13" s="87">
        <v>1541.16119</v>
      </c>
      <c r="H13" s="95">
        <v>1787.1</v>
      </c>
      <c r="I13" s="53" t="e">
        <f>#REF!-G13</f>
        <v>#REF!</v>
      </c>
      <c r="J13" s="88" t="e">
        <f>#REF!/G13</f>
        <v>#REF!</v>
      </c>
      <c r="K13" s="87">
        <f aca="true" t="shared" si="4" ref="K13:K18">H13</f>
        <v>1787.1</v>
      </c>
      <c r="L13" s="87">
        <v>1900.1</v>
      </c>
      <c r="M13" s="87">
        <f aca="true" t="shared" si="5" ref="M13:M18">L13</f>
        <v>1900.1</v>
      </c>
      <c r="N13" s="87">
        <v>1945.9</v>
      </c>
      <c r="O13" s="87">
        <f aca="true" t="shared" si="6" ref="O13:O18">N13</f>
        <v>1945.9</v>
      </c>
    </row>
    <row r="14" spans="1:15" ht="42" customHeight="1">
      <c r="A14" s="1">
        <v>8</v>
      </c>
      <c r="B14" s="9" t="s">
        <v>146</v>
      </c>
      <c r="C14" s="87">
        <v>0</v>
      </c>
      <c r="D14" s="87">
        <v>6005.55108</v>
      </c>
      <c r="E14" s="87">
        <v>4538</v>
      </c>
      <c r="F14" s="53">
        <f t="shared" si="1"/>
        <v>-1467.5510800000002</v>
      </c>
      <c r="G14" s="87">
        <v>4538</v>
      </c>
      <c r="H14" s="95">
        <v>4113</v>
      </c>
      <c r="I14" s="53" t="e">
        <f>#REF!-G14</f>
        <v>#REF!</v>
      </c>
      <c r="J14" s="88" t="e">
        <f>#REF!/G14</f>
        <v>#REF!</v>
      </c>
      <c r="K14" s="87">
        <f t="shared" si="4"/>
        <v>4113</v>
      </c>
      <c r="L14" s="87">
        <v>4154</v>
      </c>
      <c r="M14" s="87">
        <f t="shared" si="5"/>
        <v>4154</v>
      </c>
      <c r="N14" s="79">
        <v>4196</v>
      </c>
      <c r="O14" s="87">
        <f t="shared" si="6"/>
        <v>4196</v>
      </c>
    </row>
    <row r="15" spans="1:15" ht="42" customHeight="1">
      <c r="A15" s="1">
        <v>9</v>
      </c>
      <c r="B15" s="9" t="s">
        <v>62</v>
      </c>
      <c r="C15" s="87">
        <v>4580.41734</v>
      </c>
      <c r="D15" s="87">
        <v>-197.2741</v>
      </c>
      <c r="E15" s="87">
        <v>0</v>
      </c>
      <c r="F15" s="53">
        <f t="shared" si="1"/>
        <v>197.2741</v>
      </c>
      <c r="G15" s="87">
        <v>-200.73154</v>
      </c>
      <c r="H15" s="95">
        <v>0</v>
      </c>
      <c r="I15" s="53" t="e">
        <f>#REF!-G15</f>
        <v>#REF!</v>
      </c>
      <c r="J15" s="88" t="e">
        <f>#REF!/G15</f>
        <v>#REF!</v>
      </c>
      <c r="K15" s="87">
        <f t="shared" si="4"/>
        <v>0</v>
      </c>
      <c r="L15" s="87">
        <v>0</v>
      </c>
      <c r="M15" s="87">
        <f t="shared" si="5"/>
        <v>0</v>
      </c>
      <c r="N15" s="79">
        <v>0</v>
      </c>
      <c r="O15" s="87">
        <f t="shared" si="6"/>
        <v>0</v>
      </c>
    </row>
    <row r="16" spans="1:15" ht="42" customHeight="1">
      <c r="A16" s="1">
        <v>10</v>
      </c>
      <c r="B16" s="9" t="s">
        <v>63</v>
      </c>
      <c r="C16" s="87">
        <v>14883.91051</v>
      </c>
      <c r="D16" s="87">
        <v>25129.13352</v>
      </c>
      <c r="E16" s="87">
        <v>15706</v>
      </c>
      <c r="F16" s="53">
        <f t="shared" si="1"/>
        <v>-9423.13352</v>
      </c>
      <c r="G16" s="87">
        <v>-2632.71316</v>
      </c>
      <c r="H16" s="95">
        <v>3500</v>
      </c>
      <c r="I16" s="53" t="e">
        <f>#REF!-G16</f>
        <v>#REF!</v>
      </c>
      <c r="J16" s="88" t="e">
        <f>#REF!/G16</f>
        <v>#REF!</v>
      </c>
      <c r="K16" s="87">
        <f t="shared" si="4"/>
        <v>3500</v>
      </c>
      <c r="L16" s="87">
        <v>3500</v>
      </c>
      <c r="M16" s="87">
        <f t="shared" si="5"/>
        <v>3500</v>
      </c>
      <c r="N16" s="79">
        <v>3500</v>
      </c>
      <c r="O16" s="87">
        <f t="shared" si="6"/>
        <v>3500</v>
      </c>
    </row>
    <row r="17" spans="1:15" ht="42" customHeight="1">
      <c r="A17" s="1">
        <v>11</v>
      </c>
      <c r="B17" s="9" t="s">
        <v>64</v>
      </c>
      <c r="C17" s="87">
        <v>3951.61545</v>
      </c>
      <c r="D17" s="87">
        <v>4537.22124</v>
      </c>
      <c r="E17" s="87">
        <v>4330</v>
      </c>
      <c r="F17" s="53">
        <f t="shared" si="1"/>
        <v>-207.22123999999985</v>
      </c>
      <c r="G17" s="87">
        <v>4330</v>
      </c>
      <c r="H17" s="95">
        <v>5000</v>
      </c>
      <c r="I17" s="53" t="e">
        <f>#REF!-G17</f>
        <v>#REF!</v>
      </c>
      <c r="J17" s="88" t="e">
        <f>#REF!/G17</f>
        <v>#REF!</v>
      </c>
      <c r="K17" s="87">
        <f t="shared" si="4"/>
        <v>5000</v>
      </c>
      <c r="L17" s="87">
        <v>5050</v>
      </c>
      <c r="M17" s="87">
        <f t="shared" si="5"/>
        <v>5050</v>
      </c>
      <c r="N17" s="79">
        <v>5100</v>
      </c>
      <c r="O17" s="87">
        <f t="shared" si="6"/>
        <v>5100</v>
      </c>
    </row>
    <row r="18" spans="1:15" ht="42" customHeight="1">
      <c r="A18" s="1">
        <v>12</v>
      </c>
      <c r="B18" s="9" t="s">
        <v>65</v>
      </c>
      <c r="C18" s="87">
        <v>5181.29293</v>
      </c>
      <c r="D18" s="87">
        <v>5532.26421</v>
      </c>
      <c r="E18" s="87">
        <v>5105</v>
      </c>
      <c r="F18" s="53">
        <f t="shared" si="1"/>
        <v>-427.2642100000003</v>
      </c>
      <c r="G18" s="87">
        <v>5105</v>
      </c>
      <c r="H18" s="95">
        <v>5260</v>
      </c>
      <c r="I18" s="53" t="e">
        <f>#REF!-G18</f>
        <v>#REF!</v>
      </c>
      <c r="J18" s="88" t="e">
        <f>#REF!/G18</f>
        <v>#REF!</v>
      </c>
      <c r="K18" s="87">
        <f t="shared" si="4"/>
        <v>5260</v>
      </c>
      <c r="L18" s="87">
        <v>5300</v>
      </c>
      <c r="M18" s="87">
        <f t="shared" si="5"/>
        <v>5300</v>
      </c>
      <c r="N18" s="79">
        <v>5320</v>
      </c>
      <c r="O18" s="87">
        <f t="shared" si="6"/>
        <v>5320</v>
      </c>
    </row>
    <row r="19" spans="1:15" s="33" customFormat="1" ht="42" customHeight="1">
      <c r="A19" s="1">
        <v>11</v>
      </c>
      <c r="B19" s="5" t="s">
        <v>79</v>
      </c>
      <c r="C19" s="53">
        <f>SUM(C20:C30)</f>
        <v>88450.31034999999</v>
      </c>
      <c r="D19" s="53">
        <f>SUM(D20:D30)</f>
        <v>80604.83092</v>
      </c>
      <c r="E19" s="53">
        <f>SUM(E20:E30)</f>
        <v>74266.25985</v>
      </c>
      <c r="F19" s="53">
        <f t="shared" si="1"/>
        <v>-6338.571069999991</v>
      </c>
      <c r="G19" s="53">
        <f>G20+G21+G22+G23+G24+G25+G26+G27+G28+G29+G30</f>
        <v>78213.34011</v>
      </c>
      <c r="H19" s="85">
        <f aca="true" t="shared" si="7" ref="H19:O19">SUM(H20:H30)</f>
        <v>66201.34424</v>
      </c>
      <c r="I19" s="85" t="e">
        <f t="shared" si="7"/>
        <v>#REF!</v>
      </c>
      <c r="J19" s="85" t="e">
        <f t="shared" si="7"/>
        <v>#REF!</v>
      </c>
      <c r="K19" s="85">
        <f t="shared" si="7"/>
        <v>66201.34424</v>
      </c>
      <c r="L19" s="53">
        <f t="shared" si="7"/>
        <v>66109.01770000001</v>
      </c>
      <c r="M19" s="85">
        <f t="shared" si="7"/>
        <v>65929.83600000001</v>
      </c>
      <c r="N19" s="85">
        <f t="shared" si="7"/>
        <v>63785.57647</v>
      </c>
      <c r="O19" s="87">
        <f t="shared" si="7"/>
        <v>64100.95477</v>
      </c>
    </row>
    <row r="20" spans="1:15" ht="42" customHeight="1">
      <c r="A20" s="1">
        <v>12</v>
      </c>
      <c r="B20" s="9" t="s">
        <v>149</v>
      </c>
      <c r="C20" s="87">
        <v>0</v>
      </c>
      <c r="D20" s="87">
        <v>0.2606</v>
      </c>
      <c r="E20" s="87">
        <v>2.32</v>
      </c>
      <c r="F20" s="53">
        <f t="shared" si="1"/>
        <v>2.0593999999999997</v>
      </c>
      <c r="G20" s="87">
        <v>0.36866</v>
      </c>
      <c r="H20" s="79">
        <v>0</v>
      </c>
      <c r="I20" s="53" t="e">
        <f>#REF!-G20</f>
        <v>#REF!</v>
      </c>
      <c r="J20" s="88">
        <v>0</v>
      </c>
      <c r="K20" s="89">
        <f>H20</f>
        <v>0</v>
      </c>
      <c r="L20" s="87">
        <v>0</v>
      </c>
      <c r="M20" s="87">
        <v>0</v>
      </c>
      <c r="N20" s="79">
        <v>0</v>
      </c>
      <c r="O20" s="87">
        <f>N20</f>
        <v>0</v>
      </c>
    </row>
    <row r="21" spans="1:15" ht="42" customHeight="1">
      <c r="A21" s="1">
        <v>13</v>
      </c>
      <c r="B21" s="9" t="s">
        <v>66</v>
      </c>
      <c r="C21" s="87">
        <v>10883.80772</v>
      </c>
      <c r="D21" s="87">
        <v>9157.13926</v>
      </c>
      <c r="E21" s="87">
        <v>12916.160950000001</v>
      </c>
      <c r="F21" s="53">
        <f t="shared" si="1"/>
        <v>3759.0216900000014</v>
      </c>
      <c r="G21" s="87">
        <v>14500</v>
      </c>
      <c r="H21" s="79">
        <v>11927.965699999999</v>
      </c>
      <c r="I21" s="53" t="e">
        <f>#REF!-G21</f>
        <v>#REF!</v>
      </c>
      <c r="J21" s="88" t="e">
        <f>#REF!/G21</f>
        <v>#REF!</v>
      </c>
      <c r="K21" s="89">
        <f aca="true" t="shared" si="8" ref="K21:K30">H21</f>
        <v>11927.965699999999</v>
      </c>
      <c r="L21" s="87">
        <v>11927.965699999999</v>
      </c>
      <c r="M21" s="87">
        <f>L21</f>
        <v>11927.965699999999</v>
      </c>
      <c r="N21" s="79">
        <v>11927.965699999999</v>
      </c>
      <c r="O21" s="87">
        <f>N21</f>
        <v>11927.965699999999</v>
      </c>
    </row>
    <row r="22" spans="1:15" ht="51" customHeight="1">
      <c r="A22" s="1">
        <v>14</v>
      </c>
      <c r="B22" s="9" t="s">
        <v>67</v>
      </c>
      <c r="C22" s="87">
        <v>5029.60859</v>
      </c>
      <c r="D22" s="87">
        <v>4403.06365</v>
      </c>
      <c r="E22" s="87">
        <v>2788.83881</v>
      </c>
      <c r="F22" s="53">
        <f t="shared" si="1"/>
        <v>-1614.2248399999999</v>
      </c>
      <c r="G22" s="87">
        <v>3150</v>
      </c>
      <c r="H22" s="79">
        <f>3595.68331-314.4</f>
        <v>3281.28331</v>
      </c>
      <c r="I22" s="53" t="e">
        <f>#REF!-G22</f>
        <v>#REF!</v>
      </c>
      <c r="J22" s="88" t="e">
        <f>#REF!/G22</f>
        <v>#REF!</v>
      </c>
      <c r="K22" s="89">
        <f t="shared" si="8"/>
        <v>3281.28331</v>
      </c>
      <c r="L22" s="87">
        <f>3595.68331-314.4</f>
        <v>3281.28331</v>
      </c>
      <c r="M22" s="87">
        <f>195.49521+2906.6064</f>
        <v>3102.10161</v>
      </c>
      <c r="N22" s="79">
        <f>3595.68331-314.4</f>
        <v>3281.28331</v>
      </c>
      <c r="O22" s="87">
        <f>M22</f>
        <v>3102.10161</v>
      </c>
    </row>
    <row r="23" spans="1:15" ht="42" customHeight="1">
      <c r="A23" s="1">
        <v>15</v>
      </c>
      <c r="B23" s="9" t="s">
        <v>68</v>
      </c>
      <c r="C23" s="87">
        <v>1344.05652</v>
      </c>
      <c r="D23" s="87">
        <v>1357.14772</v>
      </c>
      <c r="E23" s="87">
        <v>1065.97827</v>
      </c>
      <c r="F23" s="53">
        <f t="shared" si="1"/>
        <v>-291.16944999999987</v>
      </c>
      <c r="G23" s="87">
        <v>1500</v>
      </c>
      <c r="H23" s="79">
        <v>1019.89111</v>
      </c>
      <c r="I23" s="53" t="e">
        <f>#REF!-G23</f>
        <v>#REF!</v>
      </c>
      <c r="J23" s="88" t="e">
        <f>#REF!/G23</f>
        <v>#REF!</v>
      </c>
      <c r="K23" s="89">
        <f t="shared" si="8"/>
        <v>1019.89111</v>
      </c>
      <c r="L23" s="87">
        <v>1007.56457</v>
      </c>
      <c r="M23" s="87">
        <f>L23</f>
        <v>1007.56457</v>
      </c>
      <c r="N23" s="79">
        <v>993.7016600000001</v>
      </c>
      <c r="O23" s="87">
        <f>N23</f>
        <v>993.7016600000001</v>
      </c>
    </row>
    <row r="24" spans="1:15" ht="65.25" customHeight="1">
      <c r="A24" s="1">
        <v>16</v>
      </c>
      <c r="B24" s="9" t="s">
        <v>75</v>
      </c>
      <c r="C24" s="87">
        <v>4375.7611</v>
      </c>
      <c r="D24" s="87">
        <v>1930.53444</v>
      </c>
      <c r="E24" s="87">
        <v>1578.9</v>
      </c>
      <c r="F24" s="53">
        <f t="shared" si="1"/>
        <v>-351.6344399999998</v>
      </c>
      <c r="G24" s="87">
        <v>4500</v>
      </c>
      <c r="H24" s="79">
        <v>1576.5</v>
      </c>
      <c r="I24" s="53" t="e">
        <f>#REF!-G24</f>
        <v>#REF!</v>
      </c>
      <c r="J24" s="88" t="e">
        <f>#REF!/G24</f>
        <v>#REF!</v>
      </c>
      <c r="K24" s="89">
        <f t="shared" si="8"/>
        <v>1576.5</v>
      </c>
      <c r="L24" s="89">
        <v>1576.5</v>
      </c>
      <c r="M24" s="87">
        <f>L24</f>
        <v>1576.5</v>
      </c>
      <c r="N24" s="79">
        <v>1576.5</v>
      </c>
      <c r="O24" s="87">
        <f>N24</f>
        <v>1576.5</v>
      </c>
    </row>
    <row r="25" spans="1:15" ht="47.25" customHeight="1">
      <c r="A25" s="1">
        <v>17</v>
      </c>
      <c r="B25" s="9" t="s">
        <v>69</v>
      </c>
      <c r="C25" s="87">
        <v>43050.20226</v>
      </c>
      <c r="D25" s="87">
        <v>42881.97568</v>
      </c>
      <c r="E25" s="87">
        <v>50888.71774</v>
      </c>
      <c r="F25" s="53">
        <f t="shared" si="1"/>
        <v>8006.742059999997</v>
      </c>
      <c r="G25" s="87">
        <v>48000</v>
      </c>
      <c r="H25" s="79">
        <f>46090.95747+314.4</f>
        <v>46405.35747</v>
      </c>
      <c r="I25" s="53" t="e">
        <f>#REF!-G25</f>
        <v>#REF!</v>
      </c>
      <c r="J25" s="88" t="e">
        <f>#REF!/G25</f>
        <v>#REF!</v>
      </c>
      <c r="K25" s="89">
        <f t="shared" si="8"/>
        <v>46405.35747</v>
      </c>
      <c r="L25" s="87">
        <f>46005.95747+314.4</f>
        <v>46320.35747</v>
      </c>
      <c r="M25" s="87">
        <f>L25</f>
        <v>46320.35747</v>
      </c>
      <c r="N25" s="79">
        <f>43887.58747+314.4</f>
        <v>44201.98747</v>
      </c>
      <c r="O25" s="87">
        <v>44696.54747</v>
      </c>
    </row>
    <row r="26" spans="1:15" ht="41.25" customHeight="1">
      <c r="A26" s="1">
        <v>18</v>
      </c>
      <c r="B26" s="9" t="s">
        <v>70</v>
      </c>
      <c r="C26" s="87">
        <v>204.00758</v>
      </c>
      <c r="D26" s="87">
        <v>1035.57471</v>
      </c>
      <c r="E26" s="87">
        <v>760.77647</v>
      </c>
      <c r="F26" s="53">
        <f t="shared" si="1"/>
        <v>-274.7982400000001</v>
      </c>
      <c r="G26" s="87">
        <v>917.31</v>
      </c>
      <c r="H26" s="79">
        <v>0</v>
      </c>
      <c r="I26" s="53" t="e">
        <f>#REF!-G26</f>
        <v>#REF!</v>
      </c>
      <c r="J26" s="88" t="e">
        <f>#REF!/G26</f>
        <v>#REF!</v>
      </c>
      <c r="K26" s="87">
        <f t="shared" si="8"/>
        <v>0</v>
      </c>
      <c r="L26" s="87">
        <v>0</v>
      </c>
      <c r="M26" s="87">
        <v>0</v>
      </c>
      <c r="N26" s="79">
        <v>0</v>
      </c>
      <c r="O26" s="87">
        <v>0</v>
      </c>
    </row>
    <row r="27" spans="1:15" ht="41.25" customHeight="1">
      <c r="A27" s="1">
        <v>19</v>
      </c>
      <c r="B27" s="9" t="s">
        <v>76</v>
      </c>
      <c r="C27" s="87">
        <v>17063.25263</v>
      </c>
      <c r="D27" s="87">
        <v>7704.04589</v>
      </c>
      <c r="E27" s="87">
        <v>635.19612</v>
      </c>
      <c r="F27" s="53">
        <f t="shared" si="1"/>
        <v>-7068.849770000001</v>
      </c>
      <c r="G27" s="87">
        <v>1634.40524</v>
      </c>
      <c r="H27" s="79">
        <v>600.35712</v>
      </c>
      <c r="I27" s="53" t="e">
        <f>#REF!-G27</f>
        <v>#REF!</v>
      </c>
      <c r="J27" s="88" t="e">
        <f>#REF!/G27</f>
        <v>#REF!</v>
      </c>
      <c r="K27" s="89">
        <f t="shared" si="8"/>
        <v>600.35712</v>
      </c>
      <c r="L27" s="87">
        <v>600.35712</v>
      </c>
      <c r="M27" s="87">
        <f>L27</f>
        <v>600.35712</v>
      </c>
      <c r="N27" s="79">
        <v>404.1488</v>
      </c>
      <c r="O27" s="87">
        <f>N27</f>
        <v>404.1488</v>
      </c>
    </row>
    <row r="28" spans="1:15" ht="41.25" customHeight="1">
      <c r="A28" s="1">
        <v>20</v>
      </c>
      <c r="B28" s="9" t="s">
        <v>77</v>
      </c>
      <c r="C28" s="87">
        <v>1876.82591</v>
      </c>
      <c r="D28" s="87">
        <v>8949.83647</v>
      </c>
      <c r="E28" s="87">
        <v>818.11528</v>
      </c>
      <c r="F28" s="53">
        <f t="shared" si="1"/>
        <v>-8131.72119</v>
      </c>
      <c r="G28" s="87">
        <v>1200</v>
      </c>
      <c r="H28" s="79">
        <v>0</v>
      </c>
      <c r="I28" s="53" t="e">
        <f>#REF!-G28</f>
        <v>#REF!</v>
      </c>
      <c r="J28" s="88" t="e">
        <f>#REF!/G28</f>
        <v>#REF!</v>
      </c>
      <c r="K28" s="87">
        <f t="shared" si="8"/>
        <v>0</v>
      </c>
      <c r="L28" s="87">
        <v>0</v>
      </c>
      <c r="M28" s="87">
        <f>L28</f>
        <v>0</v>
      </c>
      <c r="N28" s="79">
        <v>0</v>
      </c>
      <c r="O28" s="87">
        <f>N28</f>
        <v>0</v>
      </c>
    </row>
    <row r="29" spans="1:15" ht="45.75" customHeight="1">
      <c r="A29" s="1">
        <v>21</v>
      </c>
      <c r="B29" s="9" t="s">
        <v>71</v>
      </c>
      <c r="C29" s="87">
        <v>4626.0871</v>
      </c>
      <c r="D29" s="87">
        <v>3101.49308</v>
      </c>
      <c r="E29" s="87">
        <v>2811.25621</v>
      </c>
      <c r="F29" s="53">
        <f t="shared" si="1"/>
        <v>-290.2368700000002</v>
      </c>
      <c r="G29" s="87">
        <v>2811.25621</v>
      </c>
      <c r="H29" s="79">
        <v>1389.98953</v>
      </c>
      <c r="I29" s="53" t="e">
        <f>#REF!-G29</f>
        <v>#REF!</v>
      </c>
      <c r="J29" s="88" t="e">
        <f>#REF!/G29</f>
        <v>#REF!</v>
      </c>
      <c r="K29" s="87">
        <f>H29</f>
        <v>1389.98953</v>
      </c>
      <c r="L29" s="87">
        <v>1394.98953</v>
      </c>
      <c r="M29" s="87">
        <f>L29</f>
        <v>1394.98953</v>
      </c>
      <c r="N29" s="79">
        <v>1399.98953</v>
      </c>
      <c r="O29" s="87">
        <f>N29</f>
        <v>1399.98953</v>
      </c>
    </row>
    <row r="30" spans="1:15" ht="41.25" customHeight="1">
      <c r="A30" s="1">
        <v>22</v>
      </c>
      <c r="B30" s="9" t="s">
        <v>72</v>
      </c>
      <c r="C30" s="87">
        <v>-3.29906</v>
      </c>
      <c r="D30" s="87">
        <v>83.75942</v>
      </c>
      <c r="E30" s="87">
        <v>0</v>
      </c>
      <c r="F30" s="53">
        <f t="shared" si="1"/>
        <v>-83.75942</v>
      </c>
      <c r="G30" s="87">
        <v>0</v>
      </c>
      <c r="H30" s="79">
        <v>0</v>
      </c>
      <c r="I30" s="53" t="e">
        <f>#REF!-G30</f>
        <v>#REF!</v>
      </c>
      <c r="J30" s="88">
        <v>0</v>
      </c>
      <c r="K30" s="87">
        <f t="shared" si="8"/>
        <v>0</v>
      </c>
      <c r="L30" s="87">
        <v>0</v>
      </c>
      <c r="M30" s="87">
        <f>L30</f>
        <v>0</v>
      </c>
      <c r="N30" s="79">
        <v>0</v>
      </c>
      <c r="O30" s="87">
        <f>N30</f>
        <v>0</v>
      </c>
    </row>
    <row r="31" spans="1:15" s="33" customFormat="1" ht="39.75" customHeight="1">
      <c r="A31" s="1">
        <v>23</v>
      </c>
      <c r="B31" s="5" t="s">
        <v>10</v>
      </c>
      <c r="C31" s="53">
        <f>C34+C37+C38+C41+C44+C45+C35+C33+C36</f>
        <v>823149.2203700001</v>
      </c>
      <c r="D31" s="53">
        <f>D34+D37+D38+D41+D44+D45+D35+D33+D36</f>
        <v>712936.36362</v>
      </c>
      <c r="E31" s="53">
        <f>E34+E37+E38+E41+E44+E45+E35+E33+E36</f>
        <v>821718.89364</v>
      </c>
      <c r="F31" s="53">
        <f t="shared" si="1"/>
        <v>108782.53002000006</v>
      </c>
      <c r="G31" s="53">
        <f>G34+G35+G37+G38+G41+G45+G44+G33+G36</f>
        <v>870002.4558499999</v>
      </c>
      <c r="H31" s="97">
        <f aca="true" t="shared" si="9" ref="H31:N31">H34+H35+H37+H38+H41+H45+H44+H33+H36</f>
        <v>495678.62432</v>
      </c>
      <c r="I31" s="53">
        <f t="shared" si="9"/>
        <v>0</v>
      </c>
      <c r="J31" s="53">
        <f t="shared" si="9"/>
        <v>0</v>
      </c>
      <c r="K31" s="53">
        <f t="shared" si="9"/>
        <v>588649.4856499999</v>
      </c>
      <c r="L31" s="97">
        <f t="shared" si="9"/>
        <v>545933.515</v>
      </c>
      <c r="M31" s="53">
        <f t="shared" si="9"/>
        <v>443737.93299999996</v>
      </c>
      <c r="N31" s="53">
        <f t="shared" si="9"/>
        <v>469653.3</v>
      </c>
      <c r="O31" s="85">
        <f>O34+O37+O38+O41+O44+O45</f>
        <v>369071.144</v>
      </c>
    </row>
    <row r="32" spans="1:15" ht="26.25" customHeight="1">
      <c r="A32" s="1">
        <v>24</v>
      </c>
      <c r="B32" s="6" t="s">
        <v>5</v>
      </c>
      <c r="C32" s="87"/>
      <c r="D32" s="87"/>
      <c r="E32" s="87"/>
      <c r="F32" s="53"/>
      <c r="G32" s="87"/>
      <c r="H32" s="79"/>
      <c r="I32" s="53"/>
      <c r="J32" s="88"/>
      <c r="K32" s="87"/>
      <c r="L32" s="87"/>
      <c r="M32" s="87"/>
      <c r="N32" s="79"/>
      <c r="O32" s="87"/>
    </row>
    <row r="33" spans="1:15" ht="68.25" customHeight="1">
      <c r="A33" s="1">
        <v>25</v>
      </c>
      <c r="B33" s="6" t="s">
        <v>136</v>
      </c>
      <c r="C33" s="87">
        <v>2217.96981</v>
      </c>
      <c r="D33" s="87">
        <v>0</v>
      </c>
      <c r="E33" s="87">
        <v>0</v>
      </c>
      <c r="F33" s="53">
        <f t="shared" si="1"/>
        <v>0</v>
      </c>
      <c r="G33" s="87">
        <v>0</v>
      </c>
      <c r="H33" s="79">
        <v>0</v>
      </c>
      <c r="I33" s="53"/>
      <c r="J33" s="88"/>
      <c r="K33" s="87">
        <v>0</v>
      </c>
      <c r="L33" s="87">
        <v>0</v>
      </c>
      <c r="M33" s="87">
        <v>0</v>
      </c>
      <c r="N33" s="79">
        <v>0</v>
      </c>
      <c r="O33" s="87">
        <v>0</v>
      </c>
    </row>
    <row r="34" spans="1:15" ht="80.25" customHeight="1">
      <c r="A34" s="1">
        <v>26</v>
      </c>
      <c r="B34" s="10" t="s">
        <v>73</v>
      </c>
      <c r="C34" s="87">
        <v>3882</v>
      </c>
      <c r="D34" s="87">
        <v>8194</v>
      </c>
      <c r="E34" s="87">
        <v>7784</v>
      </c>
      <c r="F34" s="53">
        <f t="shared" si="1"/>
        <v>-410</v>
      </c>
      <c r="G34" s="87">
        <v>7784</v>
      </c>
      <c r="H34" s="79">
        <v>0</v>
      </c>
      <c r="I34" s="53"/>
      <c r="J34" s="88"/>
      <c r="K34" s="87">
        <v>7395</v>
      </c>
      <c r="L34" s="87">
        <v>0</v>
      </c>
      <c r="M34" s="87">
        <v>0</v>
      </c>
      <c r="N34" s="79">
        <v>0</v>
      </c>
      <c r="O34" s="87">
        <v>0</v>
      </c>
    </row>
    <row r="35" spans="1:15" ht="80.25" customHeight="1">
      <c r="A35" s="1">
        <v>27</v>
      </c>
      <c r="B35" s="10" t="s">
        <v>125</v>
      </c>
      <c r="C35" s="87">
        <v>24146.3</v>
      </c>
      <c r="D35" s="87">
        <v>0</v>
      </c>
      <c r="E35" s="87">
        <v>0</v>
      </c>
      <c r="F35" s="53">
        <f t="shared" si="1"/>
        <v>0</v>
      </c>
      <c r="G35" s="87">
        <v>10889.9</v>
      </c>
      <c r="H35" s="79">
        <v>0</v>
      </c>
      <c r="I35" s="53"/>
      <c r="J35" s="88"/>
      <c r="K35" s="87">
        <v>0</v>
      </c>
      <c r="L35" s="87">
        <v>0</v>
      </c>
      <c r="M35" s="87">
        <v>0</v>
      </c>
      <c r="N35" s="79">
        <v>0</v>
      </c>
      <c r="O35" s="87">
        <v>0</v>
      </c>
    </row>
    <row r="36" spans="1:15" ht="80.25" customHeight="1">
      <c r="A36" s="1">
        <v>28</v>
      </c>
      <c r="B36" s="10" t="s">
        <v>163</v>
      </c>
      <c r="C36" s="87">
        <v>0</v>
      </c>
      <c r="D36" s="87">
        <v>2420.8</v>
      </c>
      <c r="E36" s="87">
        <v>0</v>
      </c>
      <c r="F36" s="53">
        <f t="shared" si="1"/>
        <v>-2420.8</v>
      </c>
      <c r="G36" s="87">
        <v>0</v>
      </c>
      <c r="H36" s="79">
        <v>0</v>
      </c>
      <c r="I36" s="53"/>
      <c r="J36" s="88"/>
      <c r="K36" s="87">
        <v>0</v>
      </c>
      <c r="L36" s="87">
        <v>0</v>
      </c>
      <c r="M36" s="87">
        <v>0</v>
      </c>
      <c r="N36" s="79">
        <v>0</v>
      </c>
      <c r="O36" s="87">
        <v>0</v>
      </c>
    </row>
    <row r="37" spans="1:15" ht="34.5" customHeight="1">
      <c r="A37" s="1">
        <v>29</v>
      </c>
      <c r="B37" s="10" t="s">
        <v>81</v>
      </c>
      <c r="C37" s="87">
        <v>252893.06975</v>
      </c>
      <c r="D37" s="87">
        <v>147273.02568</v>
      </c>
      <c r="E37" s="87">
        <v>294161.39151</v>
      </c>
      <c r="F37" s="53">
        <f t="shared" si="1"/>
        <v>146888.36583</v>
      </c>
      <c r="G37" s="87">
        <f>307557.86407+2535.23664</f>
        <v>310093.10071</v>
      </c>
      <c r="H37" s="79">
        <f>53332.415+5916.65466</f>
        <v>59249.06966</v>
      </c>
      <c r="I37" s="53"/>
      <c r="J37" s="88"/>
      <c r="K37" s="89">
        <v>74809.70665</v>
      </c>
      <c r="L37" s="89">
        <v>50553.315</v>
      </c>
      <c r="M37" s="89">
        <v>38130.333</v>
      </c>
      <c r="N37" s="79">
        <v>0</v>
      </c>
      <c r="O37" s="89">
        <v>35697.844</v>
      </c>
    </row>
    <row r="38" spans="1:15" ht="34.5" customHeight="1">
      <c r="A38" s="1">
        <v>30</v>
      </c>
      <c r="B38" s="10" t="s">
        <v>82</v>
      </c>
      <c r="C38" s="87">
        <v>487703.01104</v>
      </c>
      <c r="D38" s="87">
        <v>491703.33457</v>
      </c>
      <c r="E38" s="87">
        <v>470696.4</v>
      </c>
      <c r="F38" s="53">
        <f t="shared" si="1"/>
        <v>-21006.934569999983</v>
      </c>
      <c r="G38" s="87">
        <f>483718.4+2538.8</f>
        <v>486257.2</v>
      </c>
      <c r="H38" s="79">
        <v>400630.2</v>
      </c>
      <c r="I38" s="53"/>
      <c r="J38" s="88"/>
      <c r="K38" s="89">
        <v>504572.4</v>
      </c>
      <c r="L38" s="89">
        <v>469653.3</v>
      </c>
      <c r="M38" s="89">
        <v>405607.6</v>
      </c>
      <c r="N38" s="79">
        <v>469653.3</v>
      </c>
      <c r="O38" s="89">
        <v>333373.3</v>
      </c>
    </row>
    <row r="39" spans="1:15" ht="18" customHeight="1">
      <c r="A39" s="1">
        <v>31</v>
      </c>
      <c r="B39" s="6" t="s">
        <v>5</v>
      </c>
      <c r="C39" s="87"/>
      <c r="D39" s="87"/>
      <c r="E39" s="87"/>
      <c r="F39" s="53"/>
      <c r="G39" s="87"/>
      <c r="H39" s="79"/>
      <c r="I39" s="53"/>
      <c r="J39" s="88"/>
      <c r="K39" s="87"/>
      <c r="L39" s="87"/>
      <c r="M39" s="87"/>
      <c r="N39" s="79"/>
      <c r="O39" s="87"/>
    </row>
    <row r="40" spans="1:15" ht="90.75" customHeight="1">
      <c r="A40" s="1">
        <v>32</v>
      </c>
      <c r="B40" s="9" t="s">
        <v>6</v>
      </c>
      <c r="C40" s="87">
        <v>1726</v>
      </c>
      <c r="D40" s="87">
        <v>1729</v>
      </c>
      <c r="E40" s="87">
        <v>2150</v>
      </c>
      <c r="F40" s="53">
        <f t="shared" si="1"/>
        <v>421</v>
      </c>
      <c r="G40" s="87">
        <v>2150</v>
      </c>
      <c r="H40" s="79">
        <v>2150</v>
      </c>
      <c r="I40" s="53"/>
      <c r="J40" s="88"/>
      <c r="K40" s="87">
        <v>2210</v>
      </c>
      <c r="L40" s="87">
        <v>2150</v>
      </c>
      <c r="M40" s="87">
        <v>2210</v>
      </c>
      <c r="N40" s="79">
        <v>2150</v>
      </c>
      <c r="O40" s="87">
        <v>2210</v>
      </c>
    </row>
    <row r="41" spans="1:15" ht="39.75" customHeight="1">
      <c r="A41" s="1">
        <v>33</v>
      </c>
      <c r="B41" s="10" t="s">
        <v>126</v>
      </c>
      <c r="C41" s="87">
        <v>53172.08725</v>
      </c>
      <c r="D41" s="87">
        <v>64180.87937</v>
      </c>
      <c r="E41" s="87">
        <v>48169.34708</v>
      </c>
      <c r="F41" s="53">
        <f t="shared" si="1"/>
        <v>-16011.532290000003</v>
      </c>
      <c r="G41" s="87">
        <f>54676.78808-10.711</f>
        <v>54666.077079999995</v>
      </c>
      <c r="H41" s="79">
        <v>35799.35466</v>
      </c>
      <c r="I41" s="53"/>
      <c r="J41" s="88"/>
      <c r="K41" s="90">
        <f>K42</f>
        <v>1872.379</v>
      </c>
      <c r="L41" s="87">
        <v>25726.9</v>
      </c>
      <c r="M41" s="87">
        <v>0</v>
      </c>
      <c r="N41" s="79">
        <v>0</v>
      </c>
      <c r="O41" s="87">
        <v>0</v>
      </c>
    </row>
    <row r="42" spans="1:15" ht="129.75" customHeight="1">
      <c r="A42" s="1">
        <v>34</v>
      </c>
      <c r="B42" s="10" t="s">
        <v>12</v>
      </c>
      <c r="C42" s="87">
        <v>1203.897</v>
      </c>
      <c r="D42" s="87">
        <v>1634.365</v>
      </c>
      <c r="E42" s="87">
        <v>1775.207</v>
      </c>
      <c r="F42" s="53">
        <f t="shared" si="1"/>
        <v>140.8420000000001</v>
      </c>
      <c r="G42" s="87">
        <v>1764.496</v>
      </c>
      <c r="H42" s="79">
        <v>1584.212</v>
      </c>
      <c r="I42" s="53"/>
      <c r="J42" s="88"/>
      <c r="K42" s="90">
        <v>1872.379</v>
      </c>
      <c r="L42" s="87">
        <v>0</v>
      </c>
      <c r="M42" s="87">
        <v>0</v>
      </c>
      <c r="N42" s="79">
        <v>0</v>
      </c>
      <c r="O42" s="87">
        <v>0</v>
      </c>
    </row>
    <row r="43" spans="1:15" ht="86.25" customHeight="1">
      <c r="A43" s="1">
        <v>35</v>
      </c>
      <c r="B43" s="10" t="s">
        <v>133</v>
      </c>
      <c r="C43" s="87">
        <f>C41-C42</f>
        <v>51968.19025</v>
      </c>
      <c r="D43" s="87">
        <f>D41-D42</f>
        <v>62546.514370000004</v>
      </c>
      <c r="E43" s="87">
        <f>E41-E42</f>
        <v>46394.14008</v>
      </c>
      <c r="F43" s="53">
        <f t="shared" si="1"/>
        <v>-16152.374290000007</v>
      </c>
      <c r="G43" s="87">
        <f aca="true" t="shared" si="10" ref="G43:N43">G41-G42</f>
        <v>52901.581079999996</v>
      </c>
      <c r="H43" s="87">
        <f t="shared" si="10"/>
        <v>34215.14266</v>
      </c>
      <c r="I43" s="87">
        <f t="shared" si="10"/>
        <v>0</v>
      </c>
      <c r="J43" s="87">
        <f t="shared" si="10"/>
        <v>0</v>
      </c>
      <c r="K43" s="87">
        <f t="shared" si="10"/>
        <v>0</v>
      </c>
      <c r="L43" s="87">
        <f t="shared" si="10"/>
        <v>25726.9</v>
      </c>
      <c r="M43" s="87">
        <f t="shared" si="10"/>
        <v>0</v>
      </c>
      <c r="N43" s="87">
        <f t="shared" si="10"/>
        <v>0</v>
      </c>
      <c r="O43" s="87">
        <v>0</v>
      </c>
    </row>
    <row r="44" spans="1:15" ht="64.5" customHeight="1">
      <c r="A44" s="1">
        <v>36</v>
      </c>
      <c r="B44" s="10" t="s">
        <v>74</v>
      </c>
      <c r="C44" s="87">
        <v>528.65021</v>
      </c>
      <c r="D44" s="87">
        <v>714.07</v>
      </c>
      <c r="E44" s="87">
        <v>944.875</v>
      </c>
      <c r="F44" s="53">
        <f t="shared" si="1"/>
        <v>230.80499999999995</v>
      </c>
      <c r="G44" s="87">
        <v>1104.575</v>
      </c>
      <c r="H44" s="79">
        <v>0</v>
      </c>
      <c r="I44" s="53"/>
      <c r="J44" s="88"/>
      <c r="K44" s="87">
        <v>0</v>
      </c>
      <c r="L44" s="87">
        <v>0</v>
      </c>
      <c r="M44" s="87">
        <v>0</v>
      </c>
      <c r="N44" s="79">
        <v>0</v>
      </c>
      <c r="O44" s="87">
        <v>0</v>
      </c>
    </row>
    <row r="45" spans="1:15" ht="91.5" customHeight="1" thickBot="1">
      <c r="A45" s="1">
        <v>37</v>
      </c>
      <c r="B45" s="11" t="s">
        <v>137</v>
      </c>
      <c r="C45" s="91">
        <v>-1393.86769</v>
      </c>
      <c r="D45" s="91">
        <v>-1549.7459999999996</v>
      </c>
      <c r="E45" s="91">
        <v>-37.11995</v>
      </c>
      <c r="F45" s="53">
        <f t="shared" si="1"/>
        <v>1512.6260499999996</v>
      </c>
      <c r="G45" s="91">
        <v>-792.39694</v>
      </c>
      <c r="H45" s="92">
        <v>0</v>
      </c>
      <c r="I45" s="93"/>
      <c r="J45" s="94"/>
      <c r="K45" s="91">
        <v>0</v>
      </c>
      <c r="L45" s="91">
        <v>0</v>
      </c>
      <c r="M45" s="91">
        <v>0</v>
      </c>
      <c r="N45" s="92">
        <v>0</v>
      </c>
      <c r="O45" s="91">
        <v>0</v>
      </c>
    </row>
    <row r="46" spans="1:15" ht="39.75" customHeight="1" thickBot="1">
      <c r="A46" s="1">
        <v>38</v>
      </c>
      <c r="B46" s="12" t="s">
        <v>3</v>
      </c>
      <c r="C46" s="55">
        <f>SUM(C53+C78+C80+C84+C103+C118+C146+C157+C175+C186+C190)</f>
        <v>1222116.87252</v>
      </c>
      <c r="D46" s="55">
        <f>SUM(D53+D78+D80+D84+D103+D118+D146+D157+D175+D186+D190)</f>
        <v>1134253.51545</v>
      </c>
      <c r="E46" s="55">
        <f>SUM(E53+E78+E80+E84+E103+E118+E146+E157+E175+E186+E190)</f>
        <v>1308499.1809700003</v>
      </c>
      <c r="F46" s="98">
        <f>E46-D46</f>
        <v>174245.66552000027</v>
      </c>
      <c r="G46" s="55">
        <f>SUM(G53+G78+G80+G84+G103+G118+G146+G157+G175+G186+G190)</f>
        <v>1317043.2176100002</v>
      </c>
      <c r="H46" s="55">
        <f aca="true" t="shared" si="11" ref="H46:N46">H53+H78+H80+H84+H103+H118+H146+H157+H175+H186+H190</f>
        <v>1364269.5522099999</v>
      </c>
      <c r="I46" s="55" t="e">
        <f t="shared" si="11"/>
        <v>#REF!</v>
      </c>
      <c r="J46" s="55" t="e">
        <f t="shared" si="11"/>
        <v>#REF!</v>
      </c>
      <c r="K46" s="55">
        <f t="shared" si="11"/>
        <v>1021015.3292099999</v>
      </c>
      <c r="L46" s="55">
        <f t="shared" si="11"/>
        <v>1072825.7492699996</v>
      </c>
      <c r="M46" s="55">
        <f>M53+M78+M80+M84+M103+M118+M146+M157+M175+M186+M190+M51</f>
        <v>877441.069</v>
      </c>
      <c r="N46" s="55">
        <f t="shared" si="11"/>
        <v>996791.2391900002</v>
      </c>
      <c r="O46" s="55">
        <f>O53+O78+O80+O84+O103+O118+O146+O157+O175+O186+O190+O51</f>
        <v>823834.78877</v>
      </c>
    </row>
    <row r="47" spans="1:15" ht="66" customHeight="1" thickBot="1">
      <c r="A47" s="1">
        <v>39</v>
      </c>
      <c r="B47" s="13" t="s">
        <v>132</v>
      </c>
      <c r="C47" s="56">
        <f>C60+C81+C90+C107+C125+C149+C163+C179+C194+C188</f>
        <v>443771.26937999995</v>
      </c>
      <c r="D47" s="56">
        <f>D60+D81+D90+D107+D125+D149+D163+D179+D194+D188</f>
        <v>444553.47474999994</v>
      </c>
      <c r="E47" s="56">
        <f>E60+E81+E90+E107+E125+E149+E163+E179+E194+E188</f>
        <v>476904.1358199999</v>
      </c>
      <c r="F47" s="54">
        <f aca="true" t="shared" si="12" ref="F47:F110">E47-D47</f>
        <v>32350.661069999973</v>
      </c>
      <c r="G47" s="56">
        <f>G60+G81+G90+G107+G125+G149+G163+G179+G194+G188</f>
        <v>467791.33582</v>
      </c>
      <c r="H47" s="56">
        <f>H60+H81+H90+H107+H125+H149+H163+H179+H194+H188+H48</f>
        <v>873432.4828000001</v>
      </c>
      <c r="I47" s="55" t="e">
        <f aca="true" t="shared" si="13" ref="I47:O47">I60+I81+I90+I107+I125+I149+I163+I179+I194+I188+I48</f>
        <v>#REF!</v>
      </c>
      <c r="J47" s="54" t="e">
        <f t="shared" si="13"/>
        <v>#REF!</v>
      </c>
      <c r="K47" s="56">
        <f t="shared" si="13"/>
        <v>441633.2225600001</v>
      </c>
      <c r="L47" s="56">
        <f>L60+L81+L90+L107+L125+L149+L163+L179+L194+L188+L48</f>
        <v>530280.09344</v>
      </c>
      <c r="M47" s="56">
        <f t="shared" si="13"/>
        <v>421603.13600000006</v>
      </c>
      <c r="N47" s="54">
        <f t="shared" si="13"/>
        <v>527137.9391900001</v>
      </c>
      <c r="O47" s="54">
        <f t="shared" si="13"/>
        <v>429463.64477</v>
      </c>
    </row>
    <row r="48" spans="1:15" ht="42" customHeight="1" thickBot="1">
      <c r="A48" s="1">
        <v>40</v>
      </c>
      <c r="B48" s="13" t="s">
        <v>147</v>
      </c>
      <c r="C48" s="56">
        <v>18307.64886</v>
      </c>
      <c r="D48" s="56">
        <v>15603.70845</v>
      </c>
      <c r="E48" s="56">
        <v>13668.0146</v>
      </c>
      <c r="F48" s="54">
        <f t="shared" si="12"/>
        <v>-1935.6938499999997</v>
      </c>
      <c r="G48" s="56">
        <f>E48</f>
        <v>13668.0146</v>
      </c>
      <c r="H48" s="56">
        <v>3257.34291</v>
      </c>
      <c r="I48" s="55"/>
      <c r="J48" s="54"/>
      <c r="K48" s="56"/>
      <c r="L48" s="56">
        <v>3387.85917</v>
      </c>
      <c r="M48" s="56"/>
      <c r="N48" s="56">
        <v>0</v>
      </c>
      <c r="O48" s="56">
        <v>0</v>
      </c>
    </row>
    <row r="49" spans="1:15" ht="36.75" customHeight="1">
      <c r="A49" s="1">
        <v>41</v>
      </c>
      <c r="B49" s="14" t="s">
        <v>164</v>
      </c>
      <c r="C49" s="54">
        <f>C68+C79+C96+C111+C132+C152+C169+C183+C198</f>
        <v>777857.6186799998</v>
      </c>
      <c r="D49" s="54">
        <f>D68+D79+D96+D111+D132+D152+D169+D183+D198</f>
        <v>689700.0407000001</v>
      </c>
      <c r="E49" s="54">
        <f>E68+E79+E96+E111+E132+E152+E169+E183+E198</f>
        <v>831595.0451499999</v>
      </c>
      <c r="F49" s="54">
        <f t="shared" si="12"/>
        <v>141895.00444999977</v>
      </c>
      <c r="G49" s="54">
        <f>G68+G79+G96+G111+G132+G152+G169+G183+G198</f>
        <v>849251.8817899998</v>
      </c>
      <c r="H49" s="54">
        <f>H68+H79+H96+H111+H132+H152+H169+H183+H198-H48</f>
        <v>490837.06940999994</v>
      </c>
      <c r="I49" s="54" t="e">
        <f aca="true" t="shared" si="14" ref="I49:O49">I68+I79+I96+I111+I132+I152+I169+I183+I198-I48</f>
        <v>#REF!</v>
      </c>
      <c r="J49" s="54" t="e">
        <f t="shared" si="14"/>
        <v>#REF!</v>
      </c>
      <c r="K49" s="54">
        <f t="shared" si="14"/>
        <v>579382.10665</v>
      </c>
      <c r="L49" s="54">
        <f>L68+L79+L96+L111+L132+L152+L169+L183+L198-L48</f>
        <v>542545.65583</v>
      </c>
      <c r="M49" s="54">
        <f t="shared" si="14"/>
        <v>443737.933</v>
      </c>
      <c r="N49" s="54">
        <f t="shared" si="14"/>
        <v>469653.3</v>
      </c>
      <c r="O49" s="54">
        <f t="shared" si="14"/>
        <v>369071.144</v>
      </c>
    </row>
    <row r="50" spans="1:15" ht="63" customHeight="1">
      <c r="A50" s="1">
        <v>42</v>
      </c>
      <c r="B50" s="14" t="s">
        <v>140</v>
      </c>
      <c r="C50" s="54">
        <f>C75+C102+C139+C155+C115</f>
        <v>487.98446</v>
      </c>
      <c r="D50" s="54">
        <f>D75+D102+D139+D155+D115</f>
        <v>0</v>
      </c>
      <c r="E50" s="54">
        <f>E75+E102+E139+E155+E115</f>
        <v>0</v>
      </c>
      <c r="F50" s="54">
        <f t="shared" si="12"/>
        <v>0</v>
      </c>
      <c r="G50" s="54">
        <f aca="true" t="shared" si="15" ref="G50:O50">G75+G102+G139+G155+G115</f>
        <v>0</v>
      </c>
      <c r="H50" s="54">
        <f t="shared" si="15"/>
        <v>0</v>
      </c>
      <c r="I50" s="54" t="e">
        <f t="shared" si="15"/>
        <v>#REF!</v>
      </c>
      <c r="J50" s="54" t="e">
        <f t="shared" si="15"/>
        <v>#REF!</v>
      </c>
      <c r="K50" s="54">
        <f t="shared" si="15"/>
        <v>0</v>
      </c>
      <c r="L50" s="54">
        <f t="shared" si="15"/>
        <v>0</v>
      </c>
      <c r="M50" s="54">
        <f t="shared" si="15"/>
        <v>0</v>
      </c>
      <c r="N50" s="54">
        <f t="shared" si="15"/>
        <v>0</v>
      </c>
      <c r="O50" s="54">
        <f t="shared" si="15"/>
        <v>0</v>
      </c>
    </row>
    <row r="51" spans="1:15" ht="50.25" customHeight="1" thickBot="1">
      <c r="A51" s="1">
        <v>43</v>
      </c>
      <c r="B51" s="15" t="s">
        <v>150</v>
      </c>
      <c r="C51" s="21" t="s">
        <v>131</v>
      </c>
      <c r="D51" s="21" t="s">
        <v>131</v>
      </c>
      <c r="E51" s="21" t="s">
        <v>131</v>
      </c>
      <c r="F51" s="54" t="s">
        <v>131</v>
      </c>
      <c r="G51" s="21" t="s">
        <v>131</v>
      </c>
      <c r="H51" s="21" t="s">
        <v>131</v>
      </c>
      <c r="I51" s="21" t="s">
        <v>131</v>
      </c>
      <c r="J51" s="21" t="s">
        <v>131</v>
      </c>
      <c r="K51" s="21" t="s">
        <v>131</v>
      </c>
      <c r="L51" s="21">
        <v>12100</v>
      </c>
      <c r="M51" s="21">
        <v>12100</v>
      </c>
      <c r="N51" s="21">
        <v>25300</v>
      </c>
      <c r="O51" s="21">
        <v>25300</v>
      </c>
    </row>
    <row r="52" spans="1:15" ht="28.5" customHeight="1">
      <c r="A52" s="1">
        <v>44</v>
      </c>
      <c r="B52" s="16" t="s">
        <v>2</v>
      </c>
      <c r="C52" s="64">
        <f aca="true" t="shared" si="16" ref="C52:N52">C46-C47-C49-C50</f>
        <v>1.815578798414208E-10</v>
      </c>
      <c r="D52" s="64">
        <f>D46-D47-D49-D50</f>
        <v>0</v>
      </c>
      <c r="E52" s="64">
        <f>E46-E47-E49-E50</f>
        <v>4.656612873077393E-10</v>
      </c>
      <c r="F52" s="64">
        <f t="shared" si="12"/>
        <v>4.656612873077393E-10</v>
      </c>
      <c r="G52" s="64">
        <f t="shared" si="16"/>
        <v>4.656612873077393E-10</v>
      </c>
      <c r="H52" s="64">
        <f t="shared" si="16"/>
        <v>-1.7462298274040222E-10</v>
      </c>
      <c r="I52" s="64" t="e">
        <f t="shared" si="16"/>
        <v>#REF!</v>
      </c>
      <c r="J52" s="64" t="e">
        <f t="shared" si="16"/>
        <v>#REF!</v>
      </c>
      <c r="K52" s="64">
        <f>K46-K47-K49-K50</f>
        <v>-2.3283064365386963E-10</v>
      </c>
      <c r="L52" s="64">
        <f>L46-L47-L49-L50</f>
        <v>-3.4924596548080444E-10</v>
      </c>
      <c r="M52" s="64">
        <f>M46-M47-M49-M50</f>
        <v>12099.999999999942</v>
      </c>
      <c r="N52" s="64">
        <f t="shared" si="16"/>
        <v>1.7462298274040222E-10</v>
      </c>
      <c r="O52" s="64">
        <f>O46-O47-O49-O50</f>
        <v>25300</v>
      </c>
    </row>
    <row r="53" spans="1:15" ht="39.75" customHeight="1">
      <c r="A53" s="1">
        <v>45</v>
      </c>
      <c r="B53" s="7" t="s">
        <v>45</v>
      </c>
      <c r="C53" s="54">
        <f>SUM(C54:C59)</f>
        <v>110761.77825</v>
      </c>
      <c r="D53" s="54">
        <f>SUM(D54:D59)</f>
        <v>113227.10876</v>
      </c>
      <c r="E53" s="54">
        <f>SUM(E54:E59)</f>
        <v>133205.61858999997</v>
      </c>
      <c r="F53" s="54">
        <f t="shared" si="12"/>
        <v>19978.509829999966</v>
      </c>
      <c r="G53" s="54">
        <f>SUM(G54:G59)</f>
        <v>132961.15359</v>
      </c>
      <c r="H53" s="54">
        <f>SUM(H54:H59)</f>
        <v>158045.0668</v>
      </c>
      <c r="I53" s="54" t="e">
        <f aca="true" t="shared" si="17" ref="I53:N53">SUM(I54:I59)</f>
        <v>#REF!</v>
      </c>
      <c r="J53" s="54" t="e">
        <f t="shared" si="17"/>
        <v>#REF!</v>
      </c>
      <c r="K53" s="54">
        <f t="shared" si="17"/>
        <v>132545.67712</v>
      </c>
      <c r="L53" s="54">
        <f t="shared" si="17"/>
        <v>149472.31058</v>
      </c>
      <c r="M53" s="54">
        <f t="shared" si="17"/>
        <v>124675.72624</v>
      </c>
      <c r="N53" s="54">
        <f t="shared" si="17"/>
        <v>150491.99242</v>
      </c>
      <c r="O53" s="99">
        <f>SUM(O54:O59)</f>
        <v>124926.33444</v>
      </c>
    </row>
    <row r="54" spans="1:15" ht="107.25" customHeight="1">
      <c r="A54" s="1">
        <v>46</v>
      </c>
      <c r="B54" s="17" t="s">
        <v>113</v>
      </c>
      <c r="C54" s="63">
        <f>C61+C69</f>
        <v>10.788</v>
      </c>
      <c r="D54" s="63">
        <f>D61+D69</f>
        <v>0</v>
      </c>
      <c r="E54" s="63">
        <f>E61+E69</f>
        <v>52.37482</v>
      </c>
      <c r="F54" s="54">
        <f t="shared" si="12"/>
        <v>52.37482</v>
      </c>
      <c r="G54" s="63">
        <f>G61+G69</f>
        <v>52.37482</v>
      </c>
      <c r="H54" s="63">
        <f>H61+H69</f>
        <v>0</v>
      </c>
      <c r="I54" s="54" t="e">
        <f>#REF!-G54</f>
        <v>#REF!</v>
      </c>
      <c r="J54" s="54" t="e">
        <f>#REF!/G54</f>
        <v>#REF!</v>
      </c>
      <c r="K54" s="63">
        <f>K61+K69</f>
        <v>0</v>
      </c>
      <c r="L54" s="63">
        <f>L61+L69</f>
        <v>0</v>
      </c>
      <c r="M54" s="63">
        <f aca="true" t="shared" si="18" ref="M54:O56">M61+M69</f>
        <v>0</v>
      </c>
      <c r="N54" s="63">
        <f t="shared" si="18"/>
        <v>0</v>
      </c>
      <c r="O54" s="100">
        <f t="shared" si="18"/>
        <v>0</v>
      </c>
    </row>
    <row r="55" spans="1:15" ht="120.75" customHeight="1">
      <c r="A55" s="1">
        <v>47</v>
      </c>
      <c r="B55" s="17" t="s">
        <v>114</v>
      </c>
      <c r="C55" s="63">
        <f aca="true" t="shared" si="19" ref="C55:D57">C62+C70</f>
        <v>57441.06155</v>
      </c>
      <c r="D55" s="63">
        <f t="shared" si="19"/>
        <v>48227.74379</v>
      </c>
      <c r="E55" s="63">
        <f>E62+E70+E76</f>
        <v>56004.16231</v>
      </c>
      <c r="F55" s="54">
        <f t="shared" si="12"/>
        <v>7776.418519999999</v>
      </c>
      <c r="G55" s="63">
        <f>G62+G70+G76</f>
        <v>55689.895000000004</v>
      </c>
      <c r="H55" s="63">
        <f>H62+H70</f>
        <v>65224.16113</v>
      </c>
      <c r="I55" s="63">
        <f aca="true" t="shared" si="20" ref="I55:N55">I62+I70</f>
        <v>0</v>
      </c>
      <c r="J55" s="63">
        <f t="shared" si="20"/>
        <v>0</v>
      </c>
      <c r="K55" s="63">
        <f t="shared" si="20"/>
        <v>57250.15</v>
      </c>
      <c r="L55" s="63">
        <f t="shared" si="20"/>
        <v>65245.578129999994</v>
      </c>
      <c r="M55" s="63">
        <f t="shared" si="20"/>
        <v>57053.65</v>
      </c>
      <c r="N55" s="63">
        <f t="shared" si="20"/>
        <v>65245.578129999994</v>
      </c>
      <c r="O55" s="100">
        <f t="shared" si="18"/>
        <v>56905.55</v>
      </c>
    </row>
    <row r="56" spans="1:15" ht="45" customHeight="1">
      <c r="A56" s="1">
        <v>48</v>
      </c>
      <c r="B56" s="17" t="s">
        <v>115</v>
      </c>
      <c r="C56" s="63">
        <f t="shared" si="19"/>
        <v>9.5</v>
      </c>
      <c r="D56" s="63">
        <f t="shared" si="19"/>
        <v>34.9</v>
      </c>
      <c r="E56" s="63">
        <f>E63+E71</f>
        <v>0.7</v>
      </c>
      <c r="F56" s="54">
        <f t="shared" si="12"/>
        <v>-34.199999999999996</v>
      </c>
      <c r="G56" s="63">
        <f>G63+G71</f>
        <v>0.7</v>
      </c>
      <c r="H56" s="63">
        <f>H63+H71</f>
        <v>0.7</v>
      </c>
      <c r="I56" s="63">
        <f aca="true" t="shared" si="21" ref="I56:N56">I63+I71</f>
        <v>0</v>
      </c>
      <c r="J56" s="63">
        <f t="shared" si="21"/>
        <v>0</v>
      </c>
      <c r="K56" s="63">
        <f t="shared" si="21"/>
        <v>3.5</v>
      </c>
      <c r="L56" s="63">
        <f t="shared" si="21"/>
        <v>0.6</v>
      </c>
      <c r="M56" s="63">
        <f t="shared" si="21"/>
        <v>3.8</v>
      </c>
      <c r="N56" s="63">
        <f t="shared" si="21"/>
        <v>0.6</v>
      </c>
      <c r="O56" s="100">
        <f t="shared" si="18"/>
        <v>32.2</v>
      </c>
    </row>
    <row r="57" spans="1:15" ht="113.25" customHeight="1">
      <c r="A57" s="1">
        <v>49</v>
      </c>
      <c r="B57" s="17" t="s">
        <v>116</v>
      </c>
      <c r="C57" s="63">
        <f t="shared" si="19"/>
        <v>4587.67897</v>
      </c>
      <c r="D57" s="63">
        <f t="shared" si="19"/>
        <v>4587.45006</v>
      </c>
      <c r="E57" s="63">
        <f>E64+E73+E72</f>
        <v>6129.70451</v>
      </c>
      <c r="F57" s="54">
        <f t="shared" si="12"/>
        <v>1542.2544499999995</v>
      </c>
      <c r="G57" s="63">
        <f>G64+G73+G72</f>
        <v>6129.70451</v>
      </c>
      <c r="H57" s="63">
        <f>H64+H73</f>
        <v>6132.43287</v>
      </c>
      <c r="I57" s="63">
        <f aca="true" t="shared" si="22" ref="I57:N57">I64+I73</f>
        <v>0</v>
      </c>
      <c r="J57" s="63">
        <f t="shared" si="22"/>
        <v>0</v>
      </c>
      <c r="K57" s="63">
        <f t="shared" si="22"/>
        <v>6142.75</v>
      </c>
      <c r="L57" s="63">
        <f t="shared" si="22"/>
        <v>5868.54682</v>
      </c>
      <c r="M57" s="63">
        <f t="shared" si="22"/>
        <v>6142.75</v>
      </c>
      <c r="N57" s="63">
        <f t="shared" si="22"/>
        <v>6032.23287</v>
      </c>
      <c r="O57" s="100">
        <f>O64+O73</f>
        <v>6142.75</v>
      </c>
    </row>
    <row r="58" spans="1:15" ht="45" customHeight="1">
      <c r="A58" s="1">
        <v>50</v>
      </c>
      <c r="B58" s="17" t="s">
        <v>117</v>
      </c>
      <c r="C58" s="63">
        <f>C66+C73</f>
        <v>0</v>
      </c>
      <c r="D58" s="63">
        <f>D66+D73</f>
        <v>0</v>
      </c>
      <c r="E58" s="63">
        <f>E66+E73</f>
        <v>1180.363</v>
      </c>
      <c r="F58" s="54">
        <f t="shared" si="12"/>
        <v>1180.363</v>
      </c>
      <c r="G58" s="63">
        <f>G66+G73</f>
        <v>931.698</v>
      </c>
      <c r="H58" s="63">
        <f>H66+H73</f>
        <v>1300</v>
      </c>
      <c r="I58" s="63">
        <f aca="true" t="shared" si="23" ref="I58:N58">I66+I73</f>
        <v>0</v>
      </c>
      <c r="J58" s="63">
        <f t="shared" si="23"/>
        <v>0</v>
      </c>
      <c r="K58" s="63">
        <f t="shared" si="23"/>
        <v>2876.5</v>
      </c>
      <c r="L58" s="63">
        <f t="shared" si="23"/>
        <v>300</v>
      </c>
      <c r="M58" s="63">
        <f t="shared" si="23"/>
        <v>1876.5</v>
      </c>
      <c r="N58" s="63">
        <f t="shared" si="23"/>
        <v>300</v>
      </c>
      <c r="O58" s="100">
        <f>O66+O73</f>
        <v>1876.5</v>
      </c>
    </row>
    <row r="59" spans="1:15" ht="45" customHeight="1">
      <c r="A59" s="1">
        <v>51</v>
      </c>
      <c r="B59" s="17" t="s">
        <v>118</v>
      </c>
      <c r="C59" s="63">
        <f>C67+C74+C77</f>
        <v>48712.749729999996</v>
      </c>
      <c r="D59" s="63">
        <f>D67+D74+D77</f>
        <v>60377.01491</v>
      </c>
      <c r="E59" s="63">
        <f>E67+E74+E77</f>
        <v>69838.31395</v>
      </c>
      <c r="F59" s="54">
        <f t="shared" si="12"/>
        <v>9461.299039999998</v>
      </c>
      <c r="G59" s="63">
        <f aca="true" t="shared" si="24" ref="G59:O59">G67+G74+G77</f>
        <v>70156.78126</v>
      </c>
      <c r="H59" s="63">
        <f t="shared" si="24"/>
        <v>85387.7728</v>
      </c>
      <c r="I59" s="63" t="e">
        <f t="shared" si="24"/>
        <v>#REF!</v>
      </c>
      <c r="J59" s="63">
        <f t="shared" si="24"/>
        <v>0</v>
      </c>
      <c r="K59" s="63">
        <f t="shared" si="24"/>
        <v>66272.77712</v>
      </c>
      <c r="L59" s="63">
        <f t="shared" si="24"/>
        <v>78057.58563</v>
      </c>
      <c r="M59" s="63">
        <f t="shared" si="24"/>
        <v>59599.02624</v>
      </c>
      <c r="N59" s="63">
        <f t="shared" si="24"/>
        <v>78913.58142</v>
      </c>
      <c r="O59" s="100">
        <f t="shared" si="24"/>
        <v>59969.33444</v>
      </c>
    </row>
    <row r="60" spans="1:15" ht="30" customHeight="1">
      <c r="A60" s="1">
        <v>52</v>
      </c>
      <c r="B60" s="18" t="s">
        <v>32</v>
      </c>
      <c r="C60" s="54">
        <f>SUM(C61:C67)</f>
        <v>108025.26486999998</v>
      </c>
      <c r="D60" s="54">
        <f>SUM(D61:D67)</f>
        <v>111085.00141</v>
      </c>
      <c r="E60" s="54">
        <f>SUM(E61:E67)</f>
        <v>130496.30460999999</v>
      </c>
      <c r="F60" s="54">
        <f t="shared" si="12"/>
        <v>19411.303199999995</v>
      </c>
      <c r="G60" s="54">
        <f aca="true" t="shared" si="25" ref="G60:O60">SUM(G61:G67)</f>
        <v>128414.73960999999</v>
      </c>
      <c r="H60" s="54">
        <f t="shared" si="25"/>
        <v>157154.9668</v>
      </c>
      <c r="I60" s="54">
        <f t="shared" si="25"/>
        <v>0</v>
      </c>
      <c r="J60" s="54">
        <f t="shared" si="25"/>
        <v>0</v>
      </c>
      <c r="K60" s="54">
        <f t="shared" si="25"/>
        <v>131559.27711999998</v>
      </c>
      <c r="L60" s="54">
        <f t="shared" si="25"/>
        <v>148425.01058</v>
      </c>
      <c r="M60" s="54">
        <f t="shared" si="25"/>
        <v>123885.52624</v>
      </c>
      <c r="N60" s="54">
        <f t="shared" si="25"/>
        <v>149444.69242</v>
      </c>
      <c r="O60" s="99">
        <f t="shared" si="25"/>
        <v>124255.83444</v>
      </c>
    </row>
    <row r="61" spans="1:15" ht="30" customHeight="1">
      <c r="A61" s="1">
        <v>53</v>
      </c>
      <c r="B61" s="7" t="s">
        <v>27</v>
      </c>
      <c r="C61" s="63">
        <v>10.788</v>
      </c>
      <c r="D61" s="63">
        <v>0</v>
      </c>
      <c r="E61" s="63">
        <v>52.37482</v>
      </c>
      <c r="F61" s="54">
        <f t="shared" si="12"/>
        <v>52.37482</v>
      </c>
      <c r="G61" s="63">
        <v>52.37482</v>
      </c>
      <c r="H61" s="63">
        <v>0</v>
      </c>
      <c r="I61" s="54"/>
      <c r="J61" s="54"/>
      <c r="K61" s="63"/>
      <c r="L61" s="63">
        <v>0</v>
      </c>
      <c r="M61" s="63"/>
      <c r="N61" s="63">
        <v>0</v>
      </c>
      <c r="O61" s="100"/>
    </row>
    <row r="62" spans="1:15" ht="30" customHeight="1">
      <c r="A62" s="1">
        <v>54</v>
      </c>
      <c r="B62" s="7" t="s">
        <v>28</v>
      </c>
      <c r="C62" s="63">
        <f>54557.03771+408.1+29.152</f>
        <v>54994.28971</v>
      </c>
      <c r="D62" s="63">
        <f>46120.53644</f>
        <v>46120.53644</v>
      </c>
      <c r="E62" s="63">
        <f>53450.69177</f>
        <v>53450.69177</v>
      </c>
      <c r="F62" s="54">
        <f t="shared" si="12"/>
        <v>7330.155329999994</v>
      </c>
      <c r="G62" s="63">
        <v>53136.42446</v>
      </c>
      <c r="H62" s="63">
        <v>64334.76113</v>
      </c>
      <c r="I62" s="54"/>
      <c r="J62" s="54"/>
      <c r="K62" s="63">
        <v>56267.25</v>
      </c>
      <c r="L62" s="63">
        <v>64198.87813</v>
      </c>
      <c r="M62" s="63">
        <v>56267.25</v>
      </c>
      <c r="N62" s="63">
        <v>64198.87813</v>
      </c>
      <c r="O62" s="100">
        <v>56267.25</v>
      </c>
    </row>
    <row r="63" spans="1:15" ht="30" customHeight="1" hidden="1">
      <c r="A63" s="1">
        <v>55</v>
      </c>
      <c r="B63" s="7" t="s">
        <v>31</v>
      </c>
      <c r="C63" s="63">
        <v>0</v>
      </c>
      <c r="D63" s="63"/>
      <c r="E63" s="63"/>
      <c r="F63" s="54">
        <f t="shared" si="12"/>
        <v>0</v>
      </c>
      <c r="G63" s="63"/>
      <c r="H63" s="63"/>
      <c r="I63" s="54"/>
      <c r="J63" s="54"/>
      <c r="K63" s="63"/>
      <c r="L63" s="63"/>
      <c r="M63" s="63"/>
      <c r="N63" s="63"/>
      <c r="O63" s="100"/>
    </row>
    <row r="64" spans="1:15" ht="30" customHeight="1">
      <c r="A64" s="1">
        <v>56</v>
      </c>
      <c r="B64" s="7" t="s">
        <v>83</v>
      </c>
      <c r="C64" s="63">
        <f>3695.90167+766.645</f>
        <v>4462.54667</v>
      </c>
      <c r="D64" s="63">
        <v>4587.45006</v>
      </c>
      <c r="E64" s="63">
        <v>5974.56107</v>
      </c>
      <c r="F64" s="54">
        <f t="shared" si="12"/>
        <v>1387.1110099999996</v>
      </c>
      <c r="G64" s="63">
        <v>5974.56107</v>
      </c>
      <c r="H64" s="63">
        <v>6132.43287</v>
      </c>
      <c r="I64" s="54"/>
      <c r="J64" s="54"/>
      <c r="K64" s="63">
        <v>6142.75</v>
      </c>
      <c r="L64" s="63">
        <v>5868.54682</v>
      </c>
      <c r="M64" s="63">
        <v>6142.75</v>
      </c>
      <c r="N64" s="63">
        <v>6032.23287</v>
      </c>
      <c r="O64" s="100">
        <v>6142.75</v>
      </c>
    </row>
    <row r="65" spans="1:15" ht="30" customHeight="1" hidden="1">
      <c r="A65" s="1">
        <v>57</v>
      </c>
      <c r="B65" s="7" t="s">
        <v>85</v>
      </c>
      <c r="C65" s="63">
        <v>0</v>
      </c>
      <c r="D65" s="63"/>
      <c r="E65" s="63"/>
      <c r="F65" s="54">
        <f t="shared" si="12"/>
        <v>0</v>
      </c>
      <c r="G65" s="63"/>
      <c r="H65" s="63"/>
      <c r="I65" s="54"/>
      <c r="J65" s="54"/>
      <c r="K65" s="63"/>
      <c r="L65" s="63"/>
      <c r="M65" s="63"/>
      <c r="N65" s="63"/>
      <c r="O65" s="100"/>
    </row>
    <row r="66" spans="1:15" ht="30" customHeight="1">
      <c r="A66" s="1">
        <v>58</v>
      </c>
      <c r="B66" s="7" t="s">
        <v>30</v>
      </c>
      <c r="C66" s="63">
        <v>0</v>
      </c>
      <c r="D66" s="63"/>
      <c r="E66" s="63">
        <v>1180.363</v>
      </c>
      <c r="F66" s="54">
        <f t="shared" si="12"/>
        <v>1180.363</v>
      </c>
      <c r="G66" s="63">
        <v>931.698</v>
      </c>
      <c r="H66" s="63">
        <v>1300</v>
      </c>
      <c r="I66" s="54"/>
      <c r="J66" s="54"/>
      <c r="K66" s="63">
        <v>2876.5</v>
      </c>
      <c r="L66" s="63">
        <v>300</v>
      </c>
      <c r="M66" s="63">
        <v>1876.5</v>
      </c>
      <c r="N66" s="63">
        <v>300</v>
      </c>
      <c r="O66" s="100">
        <v>1876.5</v>
      </c>
    </row>
    <row r="67" spans="1:15" ht="30" customHeight="1">
      <c r="A67" s="1">
        <v>59</v>
      </c>
      <c r="B67" s="7" t="s">
        <v>29</v>
      </c>
      <c r="C67" s="63">
        <v>48557.64049</v>
      </c>
      <c r="D67" s="63">
        <v>60377.01491</v>
      </c>
      <c r="E67" s="63">
        <v>69838.31395</v>
      </c>
      <c r="F67" s="54">
        <f t="shared" si="12"/>
        <v>9461.299039999998</v>
      </c>
      <c r="G67" s="63">
        <v>68319.68126</v>
      </c>
      <c r="H67" s="63">
        <v>85387.7728</v>
      </c>
      <c r="I67" s="54"/>
      <c r="J67" s="54"/>
      <c r="K67" s="63">
        <v>66272.77712</v>
      </c>
      <c r="L67" s="63">
        <v>78057.58563</v>
      </c>
      <c r="M67" s="63">
        <v>59599.02624</v>
      </c>
      <c r="N67" s="63">
        <v>78913.58142</v>
      </c>
      <c r="O67" s="100">
        <v>59969.33444</v>
      </c>
    </row>
    <row r="68" spans="1:15" ht="30" customHeight="1">
      <c r="A68" s="1">
        <v>60</v>
      </c>
      <c r="B68" s="18" t="s">
        <v>26</v>
      </c>
      <c r="C68" s="54">
        <f>SUM(C69:C74)</f>
        <v>2736.5133800000003</v>
      </c>
      <c r="D68" s="54">
        <f>SUM(D69:D74)</f>
        <v>2142.1073499999998</v>
      </c>
      <c r="E68" s="54">
        <f>SUM(E69:E74)</f>
        <v>2709.31398</v>
      </c>
      <c r="F68" s="54">
        <f t="shared" si="12"/>
        <v>567.2066300000001</v>
      </c>
      <c r="G68" s="54">
        <f>SUM(G69:G74)</f>
        <v>4546.413979999999</v>
      </c>
      <c r="H68" s="54">
        <f>SUM(H69:H74)</f>
        <v>890.1</v>
      </c>
      <c r="I68" s="54" t="e">
        <f aca="true" t="shared" si="26" ref="I68:O68">SUM(I69:I74)</f>
        <v>#REF!</v>
      </c>
      <c r="J68" s="54">
        <f t="shared" si="26"/>
        <v>0</v>
      </c>
      <c r="K68" s="54">
        <f t="shared" si="26"/>
        <v>986.4</v>
      </c>
      <c r="L68" s="54">
        <f t="shared" si="26"/>
        <v>1047.3</v>
      </c>
      <c r="M68" s="54">
        <f t="shared" si="26"/>
        <v>790.1999999999999</v>
      </c>
      <c r="N68" s="54">
        <f t="shared" si="26"/>
        <v>1047.3</v>
      </c>
      <c r="O68" s="54">
        <f t="shared" si="26"/>
        <v>670.5</v>
      </c>
    </row>
    <row r="69" spans="1:15" ht="30" customHeight="1" hidden="1">
      <c r="A69" s="1">
        <v>61</v>
      </c>
      <c r="B69" s="7" t="s">
        <v>27</v>
      </c>
      <c r="C69" s="63">
        <v>0</v>
      </c>
      <c r="D69" s="63">
        <v>0</v>
      </c>
      <c r="E69" s="63">
        <v>0</v>
      </c>
      <c r="F69" s="54">
        <f t="shared" si="12"/>
        <v>0</v>
      </c>
      <c r="G69" s="63">
        <v>0</v>
      </c>
      <c r="H69" s="63">
        <v>0</v>
      </c>
      <c r="I69" s="63" t="e">
        <f>#REF!-G69</f>
        <v>#REF!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100">
        <v>0</v>
      </c>
    </row>
    <row r="70" spans="1:15" ht="30" customHeight="1">
      <c r="A70" s="1">
        <v>62</v>
      </c>
      <c r="B70" s="7" t="s">
        <v>28</v>
      </c>
      <c r="C70" s="63">
        <f>309.36822+584.6+145+1407.80362</f>
        <v>2446.77184</v>
      </c>
      <c r="D70" s="63">
        <f>362.89738+607.5+104+1032.80997</f>
        <v>2107.2073499999997</v>
      </c>
      <c r="E70" s="63">
        <f>385+577.7+84+1506.77054</f>
        <v>2553.4705400000003</v>
      </c>
      <c r="F70" s="54">
        <f t="shared" si="12"/>
        <v>446.2631900000006</v>
      </c>
      <c r="G70" s="63">
        <f>385+577.7+84+1506.77054</f>
        <v>2553.4705400000003</v>
      </c>
      <c r="H70" s="63">
        <v>889.4</v>
      </c>
      <c r="I70" s="63"/>
      <c r="J70" s="63"/>
      <c r="K70" s="63">
        <v>982.9</v>
      </c>
      <c r="L70" s="63">
        <v>1046.7</v>
      </c>
      <c r="M70" s="63">
        <v>786.4</v>
      </c>
      <c r="N70" s="63">
        <v>1046.7</v>
      </c>
      <c r="O70" s="100">
        <v>638.3</v>
      </c>
    </row>
    <row r="71" spans="1:15" ht="30" customHeight="1">
      <c r="A71" s="1">
        <v>63</v>
      </c>
      <c r="B71" s="7" t="s">
        <v>31</v>
      </c>
      <c r="C71" s="63">
        <v>9.5</v>
      </c>
      <c r="D71" s="63">
        <v>34.9</v>
      </c>
      <c r="E71" s="63">
        <v>0.7</v>
      </c>
      <c r="F71" s="54">
        <f t="shared" si="12"/>
        <v>-34.199999999999996</v>
      </c>
      <c r="G71" s="63">
        <v>0.7</v>
      </c>
      <c r="H71" s="63">
        <v>0.7</v>
      </c>
      <c r="I71" s="63"/>
      <c r="J71" s="63"/>
      <c r="K71" s="63">
        <v>3.5</v>
      </c>
      <c r="L71" s="63">
        <v>0.6</v>
      </c>
      <c r="M71" s="63">
        <v>3.8</v>
      </c>
      <c r="N71" s="63">
        <v>0.6</v>
      </c>
      <c r="O71" s="100">
        <v>32.2</v>
      </c>
    </row>
    <row r="72" spans="1:15" ht="30" customHeight="1">
      <c r="A72" s="1">
        <v>64</v>
      </c>
      <c r="B72" s="7" t="s">
        <v>83</v>
      </c>
      <c r="C72" s="63">
        <v>125.1323</v>
      </c>
      <c r="D72" s="63">
        <v>0</v>
      </c>
      <c r="E72" s="63">
        <v>155.14344</v>
      </c>
      <c r="F72" s="54">
        <f t="shared" si="12"/>
        <v>155.14344</v>
      </c>
      <c r="G72" s="63">
        <v>155.14344</v>
      </c>
      <c r="H72" s="63">
        <v>0</v>
      </c>
      <c r="I72" s="63"/>
      <c r="J72" s="63"/>
      <c r="K72" s="63">
        <v>0</v>
      </c>
      <c r="L72" s="63">
        <v>0</v>
      </c>
      <c r="M72" s="63">
        <v>0</v>
      </c>
      <c r="N72" s="63">
        <v>0</v>
      </c>
      <c r="O72" s="100">
        <v>0</v>
      </c>
    </row>
    <row r="73" spans="1:15" ht="30" customHeight="1" hidden="1">
      <c r="A73" s="1">
        <v>65</v>
      </c>
      <c r="B73" s="7" t="s">
        <v>30</v>
      </c>
      <c r="C73" s="63">
        <v>0</v>
      </c>
      <c r="D73" s="63"/>
      <c r="E73" s="63"/>
      <c r="F73" s="54">
        <f t="shared" si="12"/>
        <v>0</v>
      </c>
      <c r="G73" s="63"/>
      <c r="H73" s="63"/>
      <c r="I73" s="63"/>
      <c r="J73" s="63"/>
      <c r="K73" s="63"/>
      <c r="L73" s="63"/>
      <c r="M73" s="63"/>
      <c r="N73" s="63"/>
      <c r="O73" s="100"/>
    </row>
    <row r="74" spans="1:15" ht="30" customHeight="1">
      <c r="A74" s="1">
        <v>66</v>
      </c>
      <c r="B74" s="7" t="s">
        <v>29</v>
      </c>
      <c r="C74" s="63">
        <v>155.10924</v>
      </c>
      <c r="D74" s="63">
        <v>0</v>
      </c>
      <c r="E74" s="63">
        <v>0</v>
      </c>
      <c r="F74" s="54">
        <f t="shared" si="12"/>
        <v>0</v>
      </c>
      <c r="G74" s="63">
        <f>900+937.1</f>
        <v>1837.1</v>
      </c>
      <c r="H74" s="63">
        <v>0</v>
      </c>
      <c r="I74" s="63"/>
      <c r="J74" s="63"/>
      <c r="K74" s="63">
        <v>0</v>
      </c>
      <c r="L74" s="63">
        <v>0</v>
      </c>
      <c r="M74" s="63">
        <v>0</v>
      </c>
      <c r="N74" s="63">
        <v>0</v>
      </c>
      <c r="O74" s="100">
        <v>0</v>
      </c>
    </row>
    <row r="75" spans="1:15" s="33" customFormat="1" ht="30" customHeight="1" hidden="1">
      <c r="A75" s="1">
        <v>67</v>
      </c>
      <c r="B75" s="18" t="s">
        <v>15</v>
      </c>
      <c r="C75" s="54">
        <f aca="true" t="shared" si="27" ref="C75:N75">C77+C76</f>
        <v>0</v>
      </c>
      <c r="D75" s="54">
        <f>D77+D76</f>
        <v>0</v>
      </c>
      <c r="E75" s="54">
        <f t="shared" si="27"/>
        <v>0</v>
      </c>
      <c r="F75" s="54">
        <f t="shared" si="12"/>
        <v>0</v>
      </c>
      <c r="G75" s="84">
        <f t="shared" si="27"/>
        <v>0</v>
      </c>
      <c r="H75" s="54">
        <f t="shared" si="27"/>
        <v>0</v>
      </c>
      <c r="I75" s="54" t="e">
        <f>#REF!-G75</f>
        <v>#REF!</v>
      </c>
      <c r="J75" s="54">
        <f t="shared" si="27"/>
        <v>0</v>
      </c>
      <c r="K75" s="54">
        <f>K77+K76</f>
        <v>0</v>
      </c>
      <c r="L75" s="54">
        <f t="shared" si="27"/>
        <v>0</v>
      </c>
      <c r="M75" s="54">
        <f>M77+M76</f>
        <v>0</v>
      </c>
      <c r="N75" s="54">
        <f t="shared" si="27"/>
        <v>0</v>
      </c>
      <c r="O75" s="99">
        <f>O77+O76</f>
        <v>0</v>
      </c>
    </row>
    <row r="76" spans="1:15" ht="30" customHeight="1" hidden="1">
      <c r="A76" s="1">
        <v>68</v>
      </c>
      <c r="B76" s="7" t="s">
        <v>28</v>
      </c>
      <c r="C76" s="63">
        <v>0</v>
      </c>
      <c r="D76" s="63">
        <v>0</v>
      </c>
      <c r="E76" s="63">
        <v>0</v>
      </c>
      <c r="F76" s="54">
        <f t="shared" si="12"/>
        <v>0</v>
      </c>
      <c r="G76" s="96">
        <v>0</v>
      </c>
      <c r="H76" s="63">
        <v>0</v>
      </c>
      <c r="I76" s="54" t="e">
        <f>#REF!-G76</f>
        <v>#REF!</v>
      </c>
      <c r="J76" s="54">
        <v>0</v>
      </c>
      <c r="K76" s="63">
        <v>0</v>
      </c>
      <c r="L76" s="63">
        <v>0</v>
      </c>
      <c r="M76" s="63">
        <v>0</v>
      </c>
      <c r="N76" s="63">
        <v>0</v>
      </c>
      <c r="O76" s="100">
        <v>0</v>
      </c>
    </row>
    <row r="77" spans="1:15" ht="42" customHeight="1" hidden="1">
      <c r="A77" s="1">
        <v>69</v>
      </c>
      <c r="B77" s="7" t="s">
        <v>29</v>
      </c>
      <c r="C77" s="63">
        <v>0</v>
      </c>
      <c r="D77" s="63">
        <v>0</v>
      </c>
      <c r="E77" s="63">
        <v>0</v>
      </c>
      <c r="F77" s="54">
        <f t="shared" si="12"/>
        <v>0</v>
      </c>
      <c r="G77" s="96">
        <v>0</v>
      </c>
      <c r="H77" s="63">
        <v>0</v>
      </c>
      <c r="I77" s="54" t="e">
        <f>#REF!-G77</f>
        <v>#REF!</v>
      </c>
      <c r="J77" s="54">
        <v>0</v>
      </c>
      <c r="K77" s="63">
        <v>0</v>
      </c>
      <c r="L77" s="63">
        <v>0</v>
      </c>
      <c r="M77" s="63">
        <v>0</v>
      </c>
      <c r="N77" s="63">
        <v>0</v>
      </c>
      <c r="O77" s="100">
        <v>0</v>
      </c>
    </row>
    <row r="78" spans="1:15" ht="39.75" customHeight="1">
      <c r="A78" s="1">
        <v>70</v>
      </c>
      <c r="B78" s="7" t="s">
        <v>44</v>
      </c>
      <c r="C78" s="54">
        <f>SUM(C79:C79)</f>
        <v>1003.8</v>
      </c>
      <c r="D78" s="54">
        <f>SUM(D79:D79)</f>
        <v>1104.1</v>
      </c>
      <c r="E78" s="54">
        <f>SUM(E79:E79)</f>
        <v>1245.3</v>
      </c>
      <c r="F78" s="54">
        <f t="shared" si="12"/>
        <v>141.20000000000005</v>
      </c>
      <c r="G78" s="54">
        <f>SUM(G79:G79)</f>
        <v>1245.3</v>
      </c>
      <c r="H78" s="54">
        <f>SUM(H79:H79)</f>
        <v>1292.2</v>
      </c>
      <c r="I78" s="54">
        <f aca="true" t="shared" si="28" ref="I78:N78">SUM(I79:I79)</f>
        <v>0</v>
      </c>
      <c r="J78" s="54">
        <f t="shared" si="28"/>
        <v>0</v>
      </c>
      <c r="K78" s="54">
        <f t="shared" si="28"/>
        <v>1292.2</v>
      </c>
      <c r="L78" s="54">
        <f t="shared" si="28"/>
        <v>1341.2</v>
      </c>
      <c r="M78" s="54">
        <f t="shared" si="28"/>
        <v>1341.2</v>
      </c>
      <c r="N78" s="54">
        <f t="shared" si="28"/>
        <v>1341.2</v>
      </c>
      <c r="O78" s="99">
        <f>SUM(O79:O79)</f>
        <v>1341.2</v>
      </c>
    </row>
    <row r="79" spans="1:15" ht="30" customHeight="1">
      <c r="A79" s="1">
        <v>71</v>
      </c>
      <c r="B79" s="18" t="s">
        <v>33</v>
      </c>
      <c r="C79" s="63">
        <v>1003.8</v>
      </c>
      <c r="D79" s="63">
        <v>1104.1</v>
      </c>
      <c r="E79" s="63">
        <v>1245.3</v>
      </c>
      <c r="F79" s="54">
        <f t="shared" si="12"/>
        <v>141.20000000000005</v>
      </c>
      <c r="G79" s="63">
        <v>1245.3</v>
      </c>
      <c r="H79" s="63">
        <v>1292.2</v>
      </c>
      <c r="I79" s="54"/>
      <c r="J79" s="54"/>
      <c r="K79" s="63">
        <v>1292.2</v>
      </c>
      <c r="L79" s="63">
        <v>1341.2</v>
      </c>
      <c r="M79" s="63">
        <v>1341.2</v>
      </c>
      <c r="N79" s="63">
        <v>1341.2</v>
      </c>
      <c r="O79" s="100">
        <v>1341.2</v>
      </c>
    </row>
    <row r="80" spans="1:15" ht="51" customHeight="1">
      <c r="A80" s="1">
        <v>72</v>
      </c>
      <c r="B80" s="7" t="s">
        <v>78</v>
      </c>
      <c r="C80" s="54">
        <f>SUM(C82:C83)</f>
        <v>41.61</v>
      </c>
      <c r="D80" s="54">
        <f>SUM(D82:D83)</f>
        <v>7.992</v>
      </c>
      <c r="E80" s="54">
        <f>SUM(E82:E83)</f>
        <v>103.4</v>
      </c>
      <c r="F80" s="54">
        <f t="shared" si="12"/>
        <v>95.408</v>
      </c>
      <c r="G80" s="54">
        <f>SUM(G82:G83)</f>
        <v>103.4</v>
      </c>
      <c r="H80" s="54">
        <f>SUM(H82:H83)</f>
        <v>180.4</v>
      </c>
      <c r="I80" s="54">
        <f aca="true" t="shared" si="29" ref="I80:N80">SUM(I82:I83)</f>
        <v>0</v>
      </c>
      <c r="J80" s="54">
        <f t="shared" si="29"/>
        <v>0</v>
      </c>
      <c r="K80" s="54">
        <f t="shared" si="29"/>
        <v>55.56</v>
      </c>
      <c r="L80" s="54">
        <f t="shared" si="29"/>
        <v>12</v>
      </c>
      <c r="M80" s="54">
        <f t="shared" si="29"/>
        <v>12</v>
      </c>
      <c r="N80" s="54">
        <f t="shared" si="29"/>
        <v>12</v>
      </c>
      <c r="O80" s="99">
        <f>SUM(O82:O83)</f>
        <v>12</v>
      </c>
    </row>
    <row r="81" spans="1:15" ht="30" customHeight="1">
      <c r="A81" s="1">
        <v>73</v>
      </c>
      <c r="B81" s="18" t="s">
        <v>39</v>
      </c>
      <c r="C81" s="54">
        <f>C82+C83</f>
        <v>41.61</v>
      </c>
      <c r="D81" s="54">
        <f>D82+D83</f>
        <v>7.992</v>
      </c>
      <c r="E81" s="54">
        <f>E82+E83</f>
        <v>103.4</v>
      </c>
      <c r="F81" s="54">
        <f t="shared" si="12"/>
        <v>95.408</v>
      </c>
      <c r="G81" s="54">
        <f>G82+G83</f>
        <v>103.4</v>
      </c>
      <c r="H81" s="63">
        <f>H82+H83</f>
        <v>180.4</v>
      </c>
      <c r="I81" s="63">
        <f aca="true" t="shared" si="30" ref="I81:N81">I82+I83</f>
        <v>0</v>
      </c>
      <c r="J81" s="63">
        <f t="shared" si="30"/>
        <v>0</v>
      </c>
      <c r="K81" s="63">
        <f t="shared" si="30"/>
        <v>55.56</v>
      </c>
      <c r="L81" s="63">
        <f t="shared" si="30"/>
        <v>12</v>
      </c>
      <c r="M81" s="63">
        <f t="shared" si="30"/>
        <v>12</v>
      </c>
      <c r="N81" s="63">
        <f t="shared" si="30"/>
        <v>12</v>
      </c>
      <c r="O81" s="100">
        <f>O82+O83</f>
        <v>12</v>
      </c>
    </row>
    <row r="82" spans="1:15" ht="87.75" customHeight="1">
      <c r="A82" s="1">
        <v>74</v>
      </c>
      <c r="B82" s="17" t="s">
        <v>135</v>
      </c>
      <c r="C82" s="63">
        <v>35.01</v>
      </c>
      <c r="D82" s="63">
        <v>0</v>
      </c>
      <c r="E82" s="63">
        <v>0</v>
      </c>
      <c r="F82" s="54">
        <f t="shared" si="12"/>
        <v>0</v>
      </c>
      <c r="G82" s="63">
        <v>0</v>
      </c>
      <c r="H82" s="63">
        <v>0</v>
      </c>
      <c r="I82" s="54"/>
      <c r="J82" s="54"/>
      <c r="K82" s="63">
        <v>0</v>
      </c>
      <c r="L82" s="63">
        <v>0</v>
      </c>
      <c r="M82" s="63">
        <v>0</v>
      </c>
      <c r="N82" s="63">
        <v>0</v>
      </c>
      <c r="O82" s="100">
        <v>0</v>
      </c>
    </row>
    <row r="83" spans="1:15" ht="72.75" customHeight="1">
      <c r="A83" s="1">
        <v>75</v>
      </c>
      <c r="B83" s="17" t="s">
        <v>123</v>
      </c>
      <c r="C83" s="63">
        <v>6.6</v>
      </c>
      <c r="D83" s="63">
        <v>7.992</v>
      </c>
      <c r="E83" s="63">
        <v>103.4</v>
      </c>
      <c r="F83" s="54">
        <f t="shared" si="12"/>
        <v>95.408</v>
      </c>
      <c r="G83" s="63">
        <v>103.4</v>
      </c>
      <c r="H83" s="63">
        <v>180.4</v>
      </c>
      <c r="I83" s="54"/>
      <c r="J83" s="54"/>
      <c r="K83" s="63">
        <v>55.56</v>
      </c>
      <c r="L83" s="63">
        <v>12</v>
      </c>
      <c r="M83" s="63">
        <v>12</v>
      </c>
      <c r="N83" s="63">
        <v>12</v>
      </c>
      <c r="O83" s="100">
        <v>12</v>
      </c>
    </row>
    <row r="84" spans="1:15" ht="39.75" customHeight="1">
      <c r="A84" s="1">
        <v>76</v>
      </c>
      <c r="B84" s="7" t="s">
        <v>43</v>
      </c>
      <c r="C84" s="54">
        <f>SUM(C90+C96+C102)</f>
        <v>17322.61128</v>
      </c>
      <c r="D84" s="54">
        <f>SUM(D90+D96+D102)</f>
        <v>21855.049890000002</v>
      </c>
      <c r="E84" s="54">
        <f>SUM(E90+E96+E102)</f>
        <v>34026.11918</v>
      </c>
      <c r="F84" s="54">
        <f t="shared" si="12"/>
        <v>12171.06929</v>
      </c>
      <c r="G84" s="54">
        <f>SUM(G90+G96+G102)</f>
        <v>34026.11918</v>
      </c>
      <c r="H84" s="54">
        <f>SUM(H90+H96+H102)</f>
        <v>66492.51919</v>
      </c>
      <c r="I84" s="54" t="e">
        <f aca="true" t="shared" si="31" ref="I84:N84">SUM(I90+I96+I102)</f>
        <v>#REF!</v>
      </c>
      <c r="J84" s="54" t="e">
        <f t="shared" si="31"/>
        <v>#REF!</v>
      </c>
      <c r="K84" s="54">
        <f t="shared" si="31"/>
        <v>19734.82644</v>
      </c>
      <c r="L84" s="54">
        <f t="shared" si="31"/>
        <v>3162.32914</v>
      </c>
      <c r="M84" s="54">
        <f t="shared" si="31"/>
        <v>2852.00914</v>
      </c>
      <c r="N84" s="54">
        <f t="shared" si="31"/>
        <v>3777.8491400000003</v>
      </c>
      <c r="O84" s="99">
        <f>SUM(O90+O96+O102)</f>
        <v>2764.00914</v>
      </c>
    </row>
    <row r="85" spans="1:15" ht="45" customHeight="1">
      <c r="A85" s="1">
        <v>77</v>
      </c>
      <c r="B85" s="17" t="s">
        <v>109</v>
      </c>
      <c r="C85" s="63">
        <f>SUM(C91)</f>
        <v>169.67542</v>
      </c>
      <c r="D85" s="63">
        <f>SUM(D91)</f>
        <v>129.73258</v>
      </c>
      <c r="E85" s="63">
        <f>SUM(E91+E97)</f>
        <v>125.91772</v>
      </c>
      <c r="F85" s="54">
        <f t="shared" si="12"/>
        <v>-3.81486000000001</v>
      </c>
      <c r="G85" s="63">
        <f>SUM(G91+G97)</f>
        <v>125.91772</v>
      </c>
      <c r="H85" s="63">
        <f>SUM(H91)</f>
        <v>152.42644</v>
      </c>
      <c r="I85" s="63">
        <f aca="true" t="shared" si="32" ref="I85:N85">SUM(I91)</f>
        <v>0</v>
      </c>
      <c r="J85" s="63">
        <f t="shared" si="32"/>
        <v>0</v>
      </c>
      <c r="K85" s="63">
        <f t="shared" si="32"/>
        <v>152.42644</v>
      </c>
      <c r="L85" s="63">
        <f t="shared" si="32"/>
        <v>137.90914</v>
      </c>
      <c r="M85" s="63">
        <f t="shared" si="32"/>
        <v>137.90914</v>
      </c>
      <c r="N85" s="63">
        <f t="shared" si="32"/>
        <v>137.90914</v>
      </c>
      <c r="O85" s="100">
        <f>SUM(O91)</f>
        <v>137.90914</v>
      </c>
    </row>
    <row r="86" spans="1:15" ht="45" customHeight="1">
      <c r="A86" s="1">
        <v>78</v>
      </c>
      <c r="B86" s="17" t="s">
        <v>110</v>
      </c>
      <c r="C86" s="63">
        <f>C92+C98</f>
        <v>751.73451</v>
      </c>
      <c r="D86" s="63">
        <f>D92+D98</f>
        <v>436.50183</v>
      </c>
      <c r="E86" s="63">
        <f>E92+E98</f>
        <v>1158.8</v>
      </c>
      <c r="F86" s="54">
        <f t="shared" si="12"/>
        <v>722.29817</v>
      </c>
      <c r="G86" s="63">
        <f>G92+G98</f>
        <v>1158.8</v>
      </c>
      <c r="H86" s="63">
        <f>H92+H98</f>
        <v>985</v>
      </c>
      <c r="I86" s="63">
        <f aca="true" t="shared" si="33" ref="I86:N86">I92+I98</f>
        <v>0</v>
      </c>
      <c r="J86" s="63">
        <f t="shared" si="33"/>
        <v>0</v>
      </c>
      <c r="K86" s="63">
        <f t="shared" si="33"/>
        <v>892.5</v>
      </c>
      <c r="L86" s="63">
        <f t="shared" si="33"/>
        <v>1158.8</v>
      </c>
      <c r="M86" s="63">
        <f t="shared" si="33"/>
        <v>714</v>
      </c>
      <c r="N86" s="63">
        <f t="shared" si="33"/>
        <v>1158.8</v>
      </c>
      <c r="O86" s="100">
        <f>O92+O98</f>
        <v>580.2</v>
      </c>
    </row>
    <row r="87" spans="1:15" ht="45" customHeight="1">
      <c r="A87" s="1">
        <v>79</v>
      </c>
      <c r="B87" s="17" t="s">
        <v>130</v>
      </c>
      <c r="C87" s="63">
        <f>SUM(C93)+C99</f>
        <v>1323.04544</v>
      </c>
      <c r="D87" s="63">
        <f>SUM(D93)+D99</f>
        <v>2237.3375</v>
      </c>
      <c r="E87" s="63">
        <f>SUM(E93)+E99</f>
        <v>1926.7267</v>
      </c>
      <c r="F87" s="54">
        <f t="shared" si="12"/>
        <v>-310.61080000000015</v>
      </c>
      <c r="G87" s="63">
        <f aca="true" t="shared" si="34" ref="G87:N87">SUM(G93)+G99</f>
        <v>1926.7267</v>
      </c>
      <c r="H87" s="63">
        <f t="shared" si="34"/>
        <v>1543.61178</v>
      </c>
      <c r="I87" s="63">
        <f t="shared" si="34"/>
        <v>0</v>
      </c>
      <c r="J87" s="63">
        <f t="shared" si="34"/>
        <v>0</v>
      </c>
      <c r="K87" s="63">
        <f t="shared" si="34"/>
        <v>802.8</v>
      </c>
      <c r="L87" s="63">
        <f t="shared" si="34"/>
        <v>0</v>
      </c>
      <c r="M87" s="63">
        <f t="shared" si="34"/>
        <v>0</v>
      </c>
      <c r="N87" s="63">
        <f t="shared" si="34"/>
        <v>0</v>
      </c>
      <c r="O87" s="100">
        <f>SUM(O93)+O99</f>
        <v>0</v>
      </c>
    </row>
    <row r="88" spans="1:15" ht="45" customHeight="1">
      <c r="A88" s="1">
        <v>80</v>
      </c>
      <c r="B88" s="17" t="s">
        <v>111</v>
      </c>
      <c r="C88" s="63">
        <f>SUM(C100)</f>
        <v>5792.4</v>
      </c>
      <c r="D88" s="63">
        <f>SUM(D100)</f>
        <v>1520.92</v>
      </c>
      <c r="E88" s="63">
        <f>SUM(E100)</f>
        <v>28510</v>
      </c>
      <c r="F88" s="54">
        <f t="shared" si="12"/>
        <v>26989.08</v>
      </c>
      <c r="G88" s="63">
        <f>SUM(G100)</f>
        <v>28510</v>
      </c>
      <c r="H88" s="63">
        <f>H94+H100</f>
        <v>53883.88831</v>
      </c>
      <c r="I88" s="63">
        <f aca="true" t="shared" si="35" ref="I88:N88">I94+I100</f>
        <v>0</v>
      </c>
      <c r="J88" s="63">
        <f t="shared" si="35"/>
        <v>0</v>
      </c>
      <c r="K88" s="63">
        <f t="shared" si="35"/>
        <v>16787.1</v>
      </c>
      <c r="L88" s="63">
        <f t="shared" si="35"/>
        <v>1765.62</v>
      </c>
      <c r="M88" s="63">
        <f t="shared" si="35"/>
        <v>1900.1</v>
      </c>
      <c r="N88" s="63">
        <f t="shared" si="35"/>
        <v>2381.14</v>
      </c>
      <c r="O88" s="100">
        <f>O94+O100</f>
        <v>1945.9</v>
      </c>
    </row>
    <row r="89" spans="1:15" ht="45" customHeight="1">
      <c r="A89" s="1">
        <v>81</v>
      </c>
      <c r="B89" s="17" t="s">
        <v>112</v>
      </c>
      <c r="C89" s="63">
        <f>SUM(C95+C101)</f>
        <v>9285.75591</v>
      </c>
      <c r="D89" s="63">
        <f>SUM(D95+D101)</f>
        <v>17383.32198</v>
      </c>
      <c r="E89" s="63">
        <f>SUM(E95+E101)</f>
        <v>100</v>
      </c>
      <c r="F89" s="54">
        <f t="shared" si="12"/>
        <v>-17283.32198</v>
      </c>
      <c r="G89" s="63">
        <f>SUM(G95+G101)</f>
        <v>100</v>
      </c>
      <c r="H89" s="63">
        <f>SUM(H95+H101)</f>
        <v>9927.59266</v>
      </c>
      <c r="I89" s="63">
        <f aca="true" t="shared" si="36" ref="I89:N89">SUM(I95+I101)</f>
        <v>0</v>
      </c>
      <c r="J89" s="63">
        <f t="shared" si="36"/>
        <v>0</v>
      </c>
      <c r="K89" s="63">
        <f t="shared" si="36"/>
        <v>1100</v>
      </c>
      <c r="L89" s="63">
        <f t="shared" si="36"/>
        <v>100</v>
      </c>
      <c r="M89" s="63">
        <f t="shared" si="36"/>
        <v>100</v>
      </c>
      <c r="N89" s="63">
        <f t="shared" si="36"/>
        <v>100</v>
      </c>
      <c r="O89" s="100">
        <f>SUM(O95+O101)</f>
        <v>100</v>
      </c>
    </row>
    <row r="90" spans="1:15" ht="30" customHeight="1">
      <c r="A90" s="1">
        <v>82</v>
      </c>
      <c r="B90" s="18" t="s">
        <v>39</v>
      </c>
      <c r="C90" s="54">
        <f>SUM(C91:C95)</f>
        <v>1640.28818</v>
      </c>
      <c r="D90" s="54">
        <f>SUM(D91:D95)</f>
        <v>1469.3060800000003</v>
      </c>
      <c r="E90" s="54">
        <f>SUM(E91:E95)</f>
        <v>3924.51918</v>
      </c>
      <c r="F90" s="54">
        <f t="shared" si="12"/>
        <v>2455.2130999999995</v>
      </c>
      <c r="G90" s="54">
        <f>SUM(G91:G95)</f>
        <v>3924.51918</v>
      </c>
      <c r="H90" s="54">
        <f>SUM(H91:H95)</f>
        <v>57019.27653</v>
      </c>
      <c r="I90" s="54">
        <f aca="true" t="shared" si="37" ref="I90:N90">SUM(I91:I95)</f>
        <v>0</v>
      </c>
      <c r="J90" s="54">
        <f t="shared" si="37"/>
        <v>0</v>
      </c>
      <c r="K90" s="54">
        <f t="shared" si="37"/>
        <v>3842.32644</v>
      </c>
      <c r="L90" s="54">
        <f t="shared" si="37"/>
        <v>2003.5291399999999</v>
      </c>
      <c r="M90" s="54">
        <f t="shared" si="37"/>
        <v>2138.00914</v>
      </c>
      <c r="N90" s="54">
        <f t="shared" si="37"/>
        <v>2619.04914</v>
      </c>
      <c r="O90" s="99">
        <f>SUM(O91:O95)</f>
        <v>2183.8091400000003</v>
      </c>
    </row>
    <row r="91" spans="1:15" ht="30" customHeight="1">
      <c r="A91" s="1">
        <v>83</v>
      </c>
      <c r="B91" s="7" t="s">
        <v>84</v>
      </c>
      <c r="C91" s="63">
        <v>169.67542</v>
      </c>
      <c r="D91" s="63">
        <v>129.73258</v>
      </c>
      <c r="E91" s="63">
        <v>125.91772</v>
      </c>
      <c r="F91" s="54">
        <f t="shared" si="12"/>
        <v>-3.81486000000001</v>
      </c>
      <c r="G91" s="63">
        <v>125.91772</v>
      </c>
      <c r="H91" s="63">
        <v>152.42644</v>
      </c>
      <c r="I91" s="63"/>
      <c r="J91" s="63"/>
      <c r="K91" s="63">
        <v>152.42644</v>
      </c>
      <c r="L91" s="63">
        <v>137.90914</v>
      </c>
      <c r="M91" s="63">
        <v>137.90914</v>
      </c>
      <c r="N91" s="63">
        <v>137.90914</v>
      </c>
      <c r="O91" s="100">
        <v>137.90914</v>
      </c>
    </row>
    <row r="92" spans="1:15" ht="30" customHeight="1" hidden="1">
      <c r="A92" s="1">
        <v>84</v>
      </c>
      <c r="B92" s="7" t="s">
        <v>38</v>
      </c>
      <c r="C92" s="63">
        <v>0</v>
      </c>
      <c r="D92" s="63"/>
      <c r="E92" s="63"/>
      <c r="F92" s="54">
        <f t="shared" si="12"/>
        <v>0</v>
      </c>
      <c r="G92" s="63"/>
      <c r="H92" s="63"/>
      <c r="I92" s="63"/>
      <c r="J92" s="63"/>
      <c r="K92" s="63"/>
      <c r="L92" s="63"/>
      <c r="M92" s="63"/>
      <c r="N92" s="63"/>
      <c r="O92" s="100"/>
    </row>
    <row r="93" spans="1:15" ht="30" customHeight="1">
      <c r="A93" s="1">
        <v>85</v>
      </c>
      <c r="B93" s="7" t="s">
        <v>129</v>
      </c>
      <c r="C93" s="63">
        <v>1323.04544</v>
      </c>
      <c r="D93" s="63">
        <v>1032.3375</v>
      </c>
      <c r="E93" s="63">
        <v>1493.9267</v>
      </c>
      <c r="F93" s="54">
        <f t="shared" si="12"/>
        <v>461.5891999999999</v>
      </c>
      <c r="G93" s="63">
        <v>1493.9267</v>
      </c>
      <c r="H93" s="63">
        <v>1543.61178</v>
      </c>
      <c r="I93" s="63"/>
      <c r="J93" s="63"/>
      <c r="K93" s="63">
        <v>802.8</v>
      </c>
      <c r="L93" s="63">
        <v>0</v>
      </c>
      <c r="M93" s="63">
        <v>0</v>
      </c>
      <c r="N93" s="63">
        <v>0</v>
      </c>
      <c r="O93" s="100">
        <v>0</v>
      </c>
    </row>
    <row r="94" spans="1:15" ht="30" customHeight="1">
      <c r="A94" s="1">
        <v>86</v>
      </c>
      <c r="B94" s="7" t="s">
        <v>34</v>
      </c>
      <c r="C94" s="63">
        <v>0</v>
      </c>
      <c r="D94" s="63">
        <v>147.236</v>
      </c>
      <c r="E94" s="63">
        <v>2204.67476</v>
      </c>
      <c r="F94" s="54">
        <f t="shared" si="12"/>
        <v>2057.43876</v>
      </c>
      <c r="G94" s="63">
        <v>2204.67476</v>
      </c>
      <c r="H94" s="63">
        <v>53883.88831</v>
      </c>
      <c r="I94" s="63"/>
      <c r="J94" s="63"/>
      <c r="K94" s="63">
        <v>1787.1</v>
      </c>
      <c r="L94" s="63">
        <v>1765.62</v>
      </c>
      <c r="M94" s="63">
        <v>1900.1</v>
      </c>
      <c r="N94" s="63">
        <v>2381.14</v>
      </c>
      <c r="O94" s="100">
        <v>1945.9</v>
      </c>
    </row>
    <row r="95" spans="1:15" ht="30" customHeight="1">
      <c r="A95" s="1">
        <v>87</v>
      </c>
      <c r="B95" s="7" t="s">
        <v>35</v>
      </c>
      <c r="C95" s="63">
        <v>147.56732</v>
      </c>
      <c r="D95" s="63">
        <v>160</v>
      </c>
      <c r="E95" s="63">
        <v>100</v>
      </c>
      <c r="F95" s="54">
        <f t="shared" si="12"/>
        <v>-60</v>
      </c>
      <c r="G95" s="63">
        <v>100</v>
      </c>
      <c r="H95" s="63">
        <v>1439.35</v>
      </c>
      <c r="I95" s="63"/>
      <c r="J95" s="63"/>
      <c r="K95" s="63">
        <v>1100</v>
      </c>
      <c r="L95" s="63">
        <v>100</v>
      </c>
      <c r="M95" s="63">
        <v>100</v>
      </c>
      <c r="N95" s="63">
        <v>100</v>
      </c>
      <c r="O95" s="100">
        <v>100</v>
      </c>
    </row>
    <row r="96" spans="1:15" ht="30" customHeight="1">
      <c r="A96" s="1">
        <v>88</v>
      </c>
      <c r="B96" s="18" t="s">
        <v>26</v>
      </c>
      <c r="C96" s="54">
        <f>SUM(C97:C101)</f>
        <v>15682.3231</v>
      </c>
      <c r="D96" s="54">
        <f>SUM(D97:D101)</f>
        <v>20385.74381</v>
      </c>
      <c r="E96" s="54">
        <f>SUM(E97:E101)</f>
        <v>30101.6</v>
      </c>
      <c r="F96" s="54">
        <f t="shared" si="12"/>
        <v>9715.856189999999</v>
      </c>
      <c r="G96" s="54">
        <f>SUM(G97:G101)</f>
        <v>30101.6</v>
      </c>
      <c r="H96" s="54">
        <f>SUM(H97:H101)</f>
        <v>9473.24266</v>
      </c>
      <c r="I96" s="54" t="e">
        <f aca="true" t="shared" si="38" ref="I96:N96">SUM(I97:I101)</f>
        <v>#REF!</v>
      </c>
      <c r="J96" s="54">
        <f t="shared" si="38"/>
        <v>0</v>
      </c>
      <c r="K96" s="54">
        <f t="shared" si="38"/>
        <v>15892.5</v>
      </c>
      <c r="L96" s="54">
        <f t="shared" si="38"/>
        <v>1158.8</v>
      </c>
      <c r="M96" s="54">
        <f t="shared" si="38"/>
        <v>714</v>
      </c>
      <c r="N96" s="54">
        <f t="shared" si="38"/>
        <v>1158.8</v>
      </c>
      <c r="O96" s="99">
        <f>SUM(O97:O101)</f>
        <v>580.2</v>
      </c>
    </row>
    <row r="97" spans="1:15" ht="30" customHeight="1" hidden="1">
      <c r="A97" s="1">
        <v>89</v>
      </c>
      <c r="B97" s="7" t="s">
        <v>84</v>
      </c>
      <c r="C97" s="63">
        <v>0</v>
      </c>
      <c r="D97" s="63">
        <v>0</v>
      </c>
      <c r="E97" s="63">
        <v>0</v>
      </c>
      <c r="F97" s="54">
        <f t="shared" si="12"/>
        <v>0</v>
      </c>
      <c r="G97" s="63">
        <v>0</v>
      </c>
      <c r="H97" s="63">
        <v>0</v>
      </c>
      <c r="I97" s="54" t="e">
        <f>#REF!-G97</f>
        <v>#REF!</v>
      </c>
      <c r="J97" s="54">
        <v>0</v>
      </c>
      <c r="K97" s="63">
        <v>0</v>
      </c>
      <c r="L97" s="63">
        <v>0</v>
      </c>
      <c r="M97" s="63">
        <v>0</v>
      </c>
      <c r="N97" s="63">
        <v>0</v>
      </c>
      <c r="O97" s="100">
        <v>0</v>
      </c>
    </row>
    <row r="98" spans="1:15" ht="30" customHeight="1">
      <c r="A98" s="1">
        <v>90</v>
      </c>
      <c r="B98" s="7" t="s">
        <v>38</v>
      </c>
      <c r="C98" s="63">
        <v>751.73451</v>
      </c>
      <c r="D98" s="63">
        <v>436.50183</v>
      </c>
      <c r="E98" s="63">
        <v>1158.8</v>
      </c>
      <c r="F98" s="54">
        <f t="shared" si="12"/>
        <v>722.29817</v>
      </c>
      <c r="G98" s="63">
        <v>1158.8</v>
      </c>
      <c r="H98" s="63">
        <v>985</v>
      </c>
      <c r="I98" s="54"/>
      <c r="J98" s="54"/>
      <c r="K98" s="63">
        <v>892.5</v>
      </c>
      <c r="L98" s="63">
        <v>1158.8</v>
      </c>
      <c r="M98" s="63">
        <v>714</v>
      </c>
      <c r="N98" s="63">
        <v>1158.8</v>
      </c>
      <c r="O98" s="100">
        <v>580.2</v>
      </c>
    </row>
    <row r="99" spans="1:15" ht="30" customHeight="1">
      <c r="A99" s="1">
        <v>91</v>
      </c>
      <c r="B99" s="22" t="s">
        <v>129</v>
      </c>
      <c r="C99" s="63">
        <v>0</v>
      </c>
      <c r="D99" s="63">
        <v>1205</v>
      </c>
      <c r="E99" s="63">
        <v>432.8</v>
      </c>
      <c r="F99" s="54">
        <f t="shared" si="12"/>
        <v>-772.2</v>
      </c>
      <c r="G99" s="63">
        <v>432.8</v>
      </c>
      <c r="H99" s="63">
        <v>0</v>
      </c>
      <c r="I99" s="54"/>
      <c r="J99" s="54"/>
      <c r="K99" s="63">
        <v>0</v>
      </c>
      <c r="L99" s="63">
        <v>0</v>
      </c>
      <c r="M99" s="63">
        <v>0</v>
      </c>
      <c r="N99" s="63">
        <v>0</v>
      </c>
      <c r="O99" s="100">
        <v>0</v>
      </c>
    </row>
    <row r="100" spans="1:15" ht="30" customHeight="1">
      <c r="A100" s="1">
        <v>92</v>
      </c>
      <c r="B100" s="7" t="s">
        <v>34</v>
      </c>
      <c r="C100" s="63">
        <v>5792.4</v>
      </c>
      <c r="D100" s="63">
        <v>1520.92</v>
      </c>
      <c r="E100" s="63">
        <v>28510</v>
      </c>
      <c r="F100" s="54">
        <f t="shared" si="12"/>
        <v>26989.08</v>
      </c>
      <c r="G100" s="63">
        <v>28510</v>
      </c>
      <c r="H100" s="63">
        <v>0</v>
      </c>
      <c r="I100" s="54"/>
      <c r="J100" s="54"/>
      <c r="K100" s="63">
        <v>15000</v>
      </c>
      <c r="L100" s="63">
        <v>0</v>
      </c>
      <c r="M100" s="63">
        <v>0</v>
      </c>
      <c r="N100" s="63">
        <v>0</v>
      </c>
      <c r="O100" s="100">
        <v>0</v>
      </c>
    </row>
    <row r="101" spans="1:15" ht="30" customHeight="1">
      <c r="A101" s="1">
        <v>93</v>
      </c>
      <c r="B101" s="7" t="s">
        <v>35</v>
      </c>
      <c r="C101" s="63">
        <f>8554.08859+584.1</f>
        <v>9138.18859</v>
      </c>
      <c r="D101" s="63">
        <f>15092.59259+498.52939+250+1382.2</f>
        <v>17223.32198</v>
      </c>
      <c r="E101" s="63">
        <v>0</v>
      </c>
      <c r="F101" s="54">
        <f t="shared" si="12"/>
        <v>-17223.32198</v>
      </c>
      <c r="G101" s="63">
        <v>0</v>
      </c>
      <c r="H101" s="63">
        <v>8488.24266</v>
      </c>
      <c r="I101" s="54"/>
      <c r="J101" s="54"/>
      <c r="K101" s="63">
        <v>0</v>
      </c>
      <c r="L101" s="63">
        <v>0</v>
      </c>
      <c r="M101" s="63">
        <v>0</v>
      </c>
      <c r="N101" s="63">
        <v>0</v>
      </c>
      <c r="O101" s="100">
        <v>0</v>
      </c>
    </row>
    <row r="102" spans="1:15" ht="30" customHeight="1">
      <c r="A102" s="1">
        <v>94</v>
      </c>
      <c r="B102" s="18" t="s">
        <v>15</v>
      </c>
      <c r="C102" s="54">
        <v>0</v>
      </c>
      <c r="D102" s="54">
        <v>0</v>
      </c>
      <c r="E102" s="54">
        <v>0</v>
      </c>
      <c r="F102" s="54">
        <f t="shared" si="12"/>
        <v>0</v>
      </c>
      <c r="G102" s="54">
        <v>0</v>
      </c>
      <c r="H102" s="54">
        <v>0</v>
      </c>
      <c r="I102" s="54" t="e">
        <f>#REF!-G102</f>
        <v>#REF!</v>
      </c>
      <c r="J102" s="54" t="e">
        <f>#REF!/G102</f>
        <v>#REF!</v>
      </c>
      <c r="K102" s="54">
        <v>0</v>
      </c>
      <c r="L102" s="54">
        <v>0</v>
      </c>
      <c r="M102" s="54">
        <v>0</v>
      </c>
      <c r="N102" s="54">
        <v>0</v>
      </c>
      <c r="O102" s="99">
        <v>0</v>
      </c>
    </row>
    <row r="103" spans="1:15" ht="39.75" customHeight="1">
      <c r="A103" s="1">
        <v>95</v>
      </c>
      <c r="B103" s="7" t="s">
        <v>42</v>
      </c>
      <c r="C103" s="54">
        <f>SUM(C104:C106)</f>
        <v>115181.62499</v>
      </c>
      <c r="D103" s="54">
        <f>SUM(D104:D106)</f>
        <v>21326.694219999998</v>
      </c>
      <c r="E103" s="54">
        <f>SUM(E104:E106)</f>
        <v>8192.7785</v>
      </c>
      <c r="F103" s="54">
        <f t="shared" si="12"/>
        <v>-13133.915719999997</v>
      </c>
      <c r="G103" s="54">
        <f>SUM(G104:G106)</f>
        <v>8192.7785</v>
      </c>
      <c r="H103" s="54">
        <f>SUM(H104:H106)</f>
        <v>24514.6995</v>
      </c>
      <c r="I103" s="54" t="e">
        <f aca="true" t="shared" si="39" ref="I103:N103">SUM(I104:I106)</f>
        <v>#REF!</v>
      </c>
      <c r="J103" s="54" t="e">
        <f t="shared" si="39"/>
        <v>#REF!</v>
      </c>
      <c r="K103" s="54">
        <f t="shared" si="39"/>
        <v>4627.93</v>
      </c>
      <c r="L103" s="54">
        <f t="shared" si="39"/>
        <v>6347.5942</v>
      </c>
      <c r="M103" s="54">
        <f t="shared" si="39"/>
        <v>1063.42</v>
      </c>
      <c r="N103" s="54">
        <f t="shared" si="39"/>
        <v>6252.42786</v>
      </c>
      <c r="O103" s="99">
        <f>SUM(O104:O106)</f>
        <v>1018.1800000000001</v>
      </c>
    </row>
    <row r="104" spans="1:15" ht="45" customHeight="1">
      <c r="A104" s="1">
        <v>96</v>
      </c>
      <c r="B104" s="17" t="s">
        <v>106</v>
      </c>
      <c r="C104" s="63">
        <f>SUM(C108+C112)+C116</f>
        <v>113808.01325999999</v>
      </c>
      <c r="D104" s="63">
        <f>SUM(D108+D112)+D116</f>
        <v>9355.05326</v>
      </c>
      <c r="E104" s="63">
        <f>SUM(E108+E112)+E116</f>
        <v>4856.86808</v>
      </c>
      <c r="F104" s="54">
        <f t="shared" si="12"/>
        <v>-4498.18518</v>
      </c>
      <c r="G104" s="63">
        <f>SUM(G108+G112)+G116</f>
        <v>4856.86808</v>
      </c>
      <c r="H104" s="63">
        <f>SUM(H108+H112)+H116</f>
        <v>3561.24241</v>
      </c>
      <c r="I104" s="54" t="e">
        <f>#REF!-G104</f>
        <v>#REF!</v>
      </c>
      <c r="J104" s="54" t="e">
        <f>#REF!/G104</f>
        <v>#REF!</v>
      </c>
      <c r="K104" s="63">
        <f>SUM(K108+K112)+K116</f>
        <v>3005.64</v>
      </c>
      <c r="L104" s="63">
        <f>SUM(L108+L112)+L116</f>
        <v>1418.95487</v>
      </c>
      <c r="M104" s="63">
        <f>SUM(M108+M112)+M116</f>
        <v>946.25</v>
      </c>
      <c r="N104" s="63">
        <f>SUM(N108+N112)+N116</f>
        <v>1319.10154</v>
      </c>
      <c r="O104" s="100">
        <f>SUM(O108+O112)+O116</f>
        <v>896.32</v>
      </c>
    </row>
    <row r="105" spans="1:15" ht="45" customHeight="1">
      <c r="A105" s="1">
        <v>97</v>
      </c>
      <c r="B105" s="17" t="s">
        <v>107</v>
      </c>
      <c r="C105" s="63">
        <f>C109+C113+C117</f>
        <v>723.76471</v>
      </c>
      <c r="D105" s="63">
        <f>D109+D113+D117</f>
        <v>7523.30678</v>
      </c>
      <c r="E105" s="63">
        <f>E109+E113+E117</f>
        <v>1585.71842</v>
      </c>
      <c r="F105" s="54">
        <f t="shared" si="12"/>
        <v>-5937.58836</v>
      </c>
      <c r="G105" s="63">
        <f>G109+G113+G117</f>
        <v>1585.71842</v>
      </c>
      <c r="H105" s="63">
        <f>H109+H113</f>
        <v>112.668</v>
      </c>
      <c r="I105" s="54" t="e">
        <f>#REF!-G105</f>
        <v>#REF!</v>
      </c>
      <c r="J105" s="54" t="e">
        <f>#REF!/G105</f>
        <v>#REF!</v>
      </c>
      <c r="K105" s="63">
        <f aca="true" t="shared" si="40" ref="K105:O106">K109+K113</f>
        <v>112.67</v>
      </c>
      <c r="L105" s="63">
        <f t="shared" si="40"/>
        <v>117.17472</v>
      </c>
      <c r="M105" s="63">
        <f t="shared" si="40"/>
        <v>117.17</v>
      </c>
      <c r="N105" s="63">
        <f t="shared" si="40"/>
        <v>121.86171</v>
      </c>
      <c r="O105" s="100">
        <f t="shared" si="40"/>
        <v>121.86</v>
      </c>
    </row>
    <row r="106" spans="1:15" ht="45" customHeight="1">
      <c r="A106" s="1">
        <v>98</v>
      </c>
      <c r="B106" s="17" t="s">
        <v>108</v>
      </c>
      <c r="C106" s="63">
        <f>C110+C114</f>
        <v>649.84702</v>
      </c>
      <c r="D106" s="63">
        <f>D110+D114</f>
        <v>4448.33418</v>
      </c>
      <c r="E106" s="63">
        <f>E110+E114</f>
        <v>1750.192</v>
      </c>
      <c r="F106" s="54">
        <f t="shared" si="12"/>
        <v>-2698.14218</v>
      </c>
      <c r="G106" s="63">
        <f>G110+G114</f>
        <v>1750.192</v>
      </c>
      <c r="H106" s="63">
        <f>H110+H114</f>
        <v>20840.78909</v>
      </c>
      <c r="I106" s="54" t="e">
        <f>#REF!-G106</f>
        <v>#REF!</v>
      </c>
      <c r="J106" s="54" t="e">
        <f>#REF!/G106</f>
        <v>#REF!</v>
      </c>
      <c r="K106" s="63">
        <f t="shared" si="40"/>
        <v>1509.62</v>
      </c>
      <c r="L106" s="63">
        <f t="shared" si="40"/>
        <v>4811.46461</v>
      </c>
      <c r="M106" s="63">
        <f t="shared" si="40"/>
        <v>0</v>
      </c>
      <c r="N106" s="63">
        <f t="shared" si="40"/>
        <v>4811.46461</v>
      </c>
      <c r="O106" s="100">
        <f t="shared" si="40"/>
        <v>0</v>
      </c>
    </row>
    <row r="107" spans="1:15" ht="30" customHeight="1">
      <c r="A107" s="1">
        <v>99</v>
      </c>
      <c r="B107" s="18" t="s">
        <v>32</v>
      </c>
      <c r="C107" s="54">
        <f>SUM(C108:C110)</f>
        <v>4618.1654499999995</v>
      </c>
      <c r="D107" s="54">
        <f>SUM(D108:D110)</f>
        <v>3872.79004</v>
      </c>
      <c r="E107" s="54">
        <f>SUM(E108:E110)</f>
        <v>7963.7785</v>
      </c>
      <c r="F107" s="54">
        <f t="shared" si="12"/>
        <v>4090.9884600000005</v>
      </c>
      <c r="G107" s="54">
        <f>SUM(G108:G110)</f>
        <v>7963.7785</v>
      </c>
      <c r="H107" s="54">
        <f>SUM(H108:H110)</f>
        <v>24514.6995</v>
      </c>
      <c r="I107" s="54">
        <f aca="true" t="shared" si="41" ref="I107:N107">SUM(I108:I110)</f>
        <v>0</v>
      </c>
      <c r="J107" s="54">
        <f t="shared" si="41"/>
        <v>0</v>
      </c>
      <c r="K107" s="54">
        <f t="shared" si="41"/>
        <v>4627.93</v>
      </c>
      <c r="L107" s="54">
        <f t="shared" si="41"/>
        <v>6347.5942</v>
      </c>
      <c r="M107" s="54">
        <f t="shared" si="41"/>
        <v>1063.42</v>
      </c>
      <c r="N107" s="54">
        <f t="shared" si="41"/>
        <v>6252.42786</v>
      </c>
      <c r="O107" s="99">
        <f>SUM(O108:O110)</f>
        <v>1018.1800000000001</v>
      </c>
    </row>
    <row r="108" spans="1:15" ht="30" customHeight="1">
      <c r="A108" s="1">
        <v>100</v>
      </c>
      <c r="B108" s="7" t="s">
        <v>36</v>
      </c>
      <c r="C108" s="63">
        <v>3244.55372</v>
      </c>
      <c r="D108" s="63">
        <v>1716.60326</v>
      </c>
      <c r="E108" s="63">
        <v>4856.86808</v>
      </c>
      <c r="F108" s="54">
        <f t="shared" si="12"/>
        <v>3140.2648200000003</v>
      </c>
      <c r="G108" s="63">
        <v>4856.86808</v>
      </c>
      <c r="H108" s="63">
        <v>3561.24241</v>
      </c>
      <c r="I108" s="54"/>
      <c r="J108" s="54"/>
      <c r="K108" s="63">
        <v>3005.64</v>
      </c>
      <c r="L108" s="63">
        <v>1418.95487</v>
      </c>
      <c r="M108" s="63">
        <v>946.25</v>
      </c>
      <c r="N108" s="63">
        <v>1319.10154</v>
      </c>
      <c r="O108" s="100">
        <v>896.32</v>
      </c>
    </row>
    <row r="109" spans="1:15" ht="30" customHeight="1">
      <c r="A109" s="1">
        <v>101</v>
      </c>
      <c r="B109" s="7" t="s">
        <v>37</v>
      </c>
      <c r="C109" s="63">
        <v>723.76471</v>
      </c>
      <c r="D109" s="63">
        <v>1155.10678</v>
      </c>
      <c r="E109" s="63">
        <v>1585.71842</v>
      </c>
      <c r="F109" s="54">
        <f t="shared" si="12"/>
        <v>430.61163999999985</v>
      </c>
      <c r="G109" s="63">
        <v>1585.71842</v>
      </c>
      <c r="H109" s="63">
        <v>112.668</v>
      </c>
      <c r="I109" s="54"/>
      <c r="J109" s="54"/>
      <c r="K109" s="63">
        <v>112.67</v>
      </c>
      <c r="L109" s="63">
        <v>117.17472</v>
      </c>
      <c r="M109" s="63">
        <v>117.17</v>
      </c>
      <c r="N109" s="63">
        <v>121.86171</v>
      </c>
      <c r="O109" s="100">
        <v>121.86</v>
      </c>
    </row>
    <row r="110" spans="1:15" ht="30" customHeight="1">
      <c r="A110" s="1">
        <v>102</v>
      </c>
      <c r="B110" s="7" t="s">
        <v>40</v>
      </c>
      <c r="C110" s="63">
        <v>649.84702</v>
      </c>
      <c r="D110" s="63">
        <v>1001.08</v>
      </c>
      <c r="E110" s="63">
        <v>1521.192</v>
      </c>
      <c r="F110" s="54">
        <f t="shared" si="12"/>
        <v>520.112</v>
      </c>
      <c r="G110" s="63">
        <v>1521.192</v>
      </c>
      <c r="H110" s="63">
        <v>20840.78909</v>
      </c>
      <c r="I110" s="54"/>
      <c r="J110" s="54"/>
      <c r="K110" s="63">
        <v>1509.62</v>
      </c>
      <c r="L110" s="63">
        <v>4811.46461</v>
      </c>
      <c r="M110" s="63">
        <v>0</v>
      </c>
      <c r="N110" s="63">
        <v>4811.46461</v>
      </c>
      <c r="O110" s="100">
        <v>0</v>
      </c>
    </row>
    <row r="111" spans="1:15" ht="30" customHeight="1">
      <c r="A111" s="1">
        <v>103</v>
      </c>
      <c r="B111" s="18" t="s">
        <v>26</v>
      </c>
      <c r="C111" s="54">
        <f>SUM(C112:C114)</f>
        <v>110563.45954</v>
      </c>
      <c r="D111" s="54">
        <f>SUM(D112:D114)</f>
        <v>17453.90418</v>
      </c>
      <c r="E111" s="54">
        <f>SUM(E112:E114)</f>
        <v>229</v>
      </c>
      <c r="F111" s="54">
        <f aca="true" t="shared" si="42" ref="F111:F174">E111-D111</f>
        <v>-17224.90418</v>
      </c>
      <c r="G111" s="54">
        <f>SUM(G112:G114)</f>
        <v>229</v>
      </c>
      <c r="H111" s="54">
        <f>SUM(H112:H114)</f>
        <v>0</v>
      </c>
      <c r="I111" s="54">
        <f aca="true" t="shared" si="43" ref="I111:N111">SUM(I112:I114)</f>
        <v>0</v>
      </c>
      <c r="J111" s="54">
        <f t="shared" si="43"/>
        <v>0</v>
      </c>
      <c r="K111" s="54">
        <f t="shared" si="43"/>
        <v>0</v>
      </c>
      <c r="L111" s="54">
        <f t="shared" si="43"/>
        <v>0</v>
      </c>
      <c r="M111" s="54">
        <f t="shared" si="43"/>
        <v>0</v>
      </c>
      <c r="N111" s="54">
        <f t="shared" si="43"/>
        <v>0</v>
      </c>
      <c r="O111" s="99">
        <f>SUM(O112:O114)</f>
        <v>0</v>
      </c>
    </row>
    <row r="112" spans="1:15" ht="30" customHeight="1">
      <c r="A112" s="1">
        <v>104</v>
      </c>
      <c r="B112" s="7" t="s">
        <v>36</v>
      </c>
      <c r="C112" s="63">
        <f>11.00991+1093.87725+953.98492+94444.50686+128.26088+12697.82672+1233.993</f>
        <v>110563.45954</v>
      </c>
      <c r="D112" s="63">
        <f>27.1635+2689.1865+4922.1</f>
        <v>7638.450000000001</v>
      </c>
      <c r="E112" s="63">
        <v>0</v>
      </c>
      <c r="F112" s="54">
        <f t="shared" si="42"/>
        <v>-7638.450000000001</v>
      </c>
      <c r="G112" s="63">
        <v>0</v>
      </c>
      <c r="H112" s="63">
        <v>0</v>
      </c>
      <c r="I112" s="54"/>
      <c r="J112" s="54"/>
      <c r="K112" s="63">
        <v>0</v>
      </c>
      <c r="L112" s="63">
        <v>0</v>
      </c>
      <c r="M112" s="63">
        <v>0</v>
      </c>
      <c r="N112" s="63">
        <v>0</v>
      </c>
      <c r="O112" s="100">
        <v>0</v>
      </c>
    </row>
    <row r="113" spans="1:15" ht="30" customHeight="1">
      <c r="A113" s="1">
        <v>105</v>
      </c>
      <c r="B113" s="7" t="s">
        <v>37</v>
      </c>
      <c r="C113" s="63">
        <v>0</v>
      </c>
      <c r="D113" s="63">
        <v>6368.2</v>
      </c>
      <c r="E113" s="63">
        <v>0</v>
      </c>
      <c r="F113" s="54">
        <f t="shared" si="42"/>
        <v>-6368.2</v>
      </c>
      <c r="G113" s="63">
        <v>0</v>
      </c>
      <c r="H113" s="63">
        <v>0</v>
      </c>
      <c r="I113" s="54"/>
      <c r="J113" s="54"/>
      <c r="K113" s="63">
        <v>0</v>
      </c>
      <c r="L113" s="63">
        <v>0</v>
      </c>
      <c r="M113" s="63">
        <v>0</v>
      </c>
      <c r="N113" s="63">
        <v>0</v>
      </c>
      <c r="O113" s="100">
        <v>0</v>
      </c>
    </row>
    <row r="114" spans="1:16" ht="30" customHeight="1">
      <c r="A114" s="1">
        <v>106</v>
      </c>
      <c r="B114" s="7" t="s">
        <v>40</v>
      </c>
      <c r="C114" s="63">
        <v>0</v>
      </c>
      <c r="D114" s="63">
        <f>947.25418+2500</f>
        <v>3447.25418</v>
      </c>
      <c r="E114" s="63">
        <v>229</v>
      </c>
      <c r="F114" s="54">
        <f t="shared" si="42"/>
        <v>-3218.25418</v>
      </c>
      <c r="G114" s="63">
        <v>229</v>
      </c>
      <c r="H114" s="63">
        <v>0</v>
      </c>
      <c r="I114" s="54"/>
      <c r="J114" s="54"/>
      <c r="K114" s="63">
        <v>0</v>
      </c>
      <c r="L114" s="63">
        <v>0</v>
      </c>
      <c r="M114" s="63">
        <v>0</v>
      </c>
      <c r="N114" s="63">
        <v>0</v>
      </c>
      <c r="O114" s="100">
        <v>0</v>
      </c>
      <c r="P114" s="36"/>
    </row>
    <row r="115" spans="1:15" ht="30" customHeight="1" hidden="1">
      <c r="A115" s="1">
        <v>107</v>
      </c>
      <c r="B115" s="18" t="s">
        <v>21</v>
      </c>
      <c r="C115" s="54">
        <f>SUM(C116:C117)</f>
        <v>0</v>
      </c>
      <c r="D115" s="54">
        <f>SUM(D116:D117)</f>
        <v>0</v>
      </c>
      <c r="E115" s="54">
        <f>SUM(E116:E117)</f>
        <v>0</v>
      </c>
      <c r="F115" s="54">
        <f t="shared" si="42"/>
        <v>0</v>
      </c>
      <c r="G115" s="84">
        <f>SUM(G116:G117)</f>
        <v>0</v>
      </c>
      <c r="H115" s="84">
        <f>SUM(H116:H117)</f>
        <v>0</v>
      </c>
      <c r="I115" s="84" t="e">
        <f>#REF!-G115</f>
        <v>#REF!</v>
      </c>
      <c r="J115" s="84">
        <v>0</v>
      </c>
      <c r="K115" s="84">
        <f>SUM(K116:K117)</f>
        <v>0</v>
      </c>
      <c r="L115" s="84">
        <f>SUM(L116:L117)</f>
        <v>0</v>
      </c>
      <c r="M115" s="84">
        <f>SUM(M116:M117)</f>
        <v>0</v>
      </c>
      <c r="N115" s="84">
        <f>SUM(N116:N117)</f>
        <v>0</v>
      </c>
      <c r="O115" s="99">
        <f>SUM(O116:O117)</f>
        <v>0</v>
      </c>
    </row>
    <row r="116" spans="1:15" ht="30" customHeight="1" hidden="1">
      <c r="A116" s="1">
        <v>108</v>
      </c>
      <c r="B116" s="7" t="s">
        <v>36</v>
      </c>
      <c r="C116" s="63">
        <v>0</v>
      </c>
      <c r="D116" s="63">
        <v>0</v>
      </c>
      <c r="E116" s="63">
        <v>0</v>
      </c>
      <c r="F116" s="54">
        <f t="shared" si="42"/>
        <v>0</v>
      </c>
      <c r="G116" s="96">
        <v>0</v>
      </c>
      <c r="H116" s="96">
        <v>0</v>
      </c>
      <c r="I116" s="84" t="e">
        <f>#REF!-G116</f>
        <v>#REF!</v>
      </c>
      <c r="J116" s="84">
        <v>0</v>
      </c>
      <c r="K116" s="96">
        <v>0</v>
      </c>
      <c r="L116" s="96">
        <v>0</v>
      </c>
      <c r="M116" s="96">
        <v>0</v>
      </c>
      <c r="N116" s="96">
        <v>0</v>
      </c>
      <c r="O116" s="100">
        <v>0</v>
      </c>
    </row>
    <row r="117" spans="1:15" ht="30" customHeight="1" hidden="1">
      <c r="A117" s="1">
        <v>109</v>
      </c>
      <c r="B117" s="7" t="s">
        <v>37</v>
      </c>
      <c r="C117" s="63">
        <v>0</v>
      </c>
      <c r="D117" s="63">
        <v>0</v>
      </c>
      <c r="E117" s="63">
        <v>0</v>
      </c>
      <c r="F117" s="54">
        <f t="shared" si="42"/>
        <v>0</v>
      </c>
      <c r="G117" s="96">
        <v>0</v>
      </c>
      <c r="H117" s="96">
        <v>0</v>
      </c>
      <c r="I117" s="84" t="e">
        <f>#REF!-G117</f>
        <v>#REF!</v>
      </c>
      <c r="J117" s="84">
        <v>0</v>
      </c>
      <c r="K117" s="96">
        <v>0</v>
      </c>
      <c r="L117" s="96">
        <v>0</v>
      </c>
      <c r="M117" s="96">
        <v>0</v>
      </c>
      <c r="N117" s="96">
        <v>0</v>
      </c>
      <c r="O117" s="100">
        <v>0</v>
      </c>
    </row>
    <row r="118" spans="1:15" ht="39.75" customHeight="1">
      <c r="A118" s="1">
        <v>110</v>
      </c>
      <c r="B118" s="7" t="s">
        <v>41</v>
      </c>
      <c r="C118" s="54">
        <f>SUM(C119:C124)</f>
        <v>777648.7062599999</v>
      </c>
      <c r="D118" s="54">
        <f>SUM(D119:D124)</f>
        <v>819623.7256700001</v>
      </c>
      <c r="E118" s="54">
        <f>SUM(E119:E124)</f>
        <v>974401.1443800001</v>
      </c>
      <c r="F118" s="54">
        <f t="shared" si="42"/>
        <v>154777.41871</v>
      </c>
      <c r="G118" s="54">
        <f aca="true" t="shared" si="44" ref="G118:O118">SUM(G119:G124)</f>
        <v>978225.9124</v>
      </c>
      <c r="H118" s="54">
        <f t="shared" si="44"/>
        <v>955057.33877</v>
      </c>
      <c r="I118" s="54" t="e">
        <f t="shared" si="44"/>
        <v>#REF!</v>
      </c>
      <c r="J118" s="54" t="e">
        <f t="shared" si="44"/>
        <v>#REF!</v>
      </c>
      <c r="K118" s="54">
        <f t="shared" si="44"/>
        <v>726743.40892</v>
      </c>
      <c r="L118" s="54">
        <f t="shared" si="44"/>
        <v>774368.9773199998</v>
      </c>
      <c r="M118" s="54">
        <f t="shared" si="44"/>
        <v>615662.82001</v>
      </c>
      <c r="N118" s="54">
        <f t="shared" si="44"/>
        <v>721633.9155600001</v>
      </c>
      <c r="O118" s="99">
        <f t="shared" si="44"/>
        <v>551006.87195</v>
      </c>
    </row>
    <row r="119" spans="1:15" s="33" customFormat="1" ht="45" customHeight="1">
      <c r="A119" s="1">
        <v>111</v>
      </c>
      <c r="B119" s="17" t="s">
        <v>89</v>
      </c>
      <c r="C119" s="63">
        <f aca="true" t="shared" si="45" ref="C119:E120">C126+C133+C140</f>
        <v>324295.09388</v>
      </c>
      <c r="D119" s="63">
        <f t="shared" si="45"/>
        <v>314299.32797</v>
      </c>
      <c r="E119" s="63">
        <f t="shared" si="45"/>
        <v>279058.69935999997</v>
      </c>
      <c r="F119" s="54">
        <f t="shared" si="42"/>
        <v>-35240.628610000014</v>
      </c>
      <c r="G119" s="63">
        <f>G126+G133+G140</f>
        <v>278332.44691</v>
      </c>
      <c r="H119" s="63">
        <f>H126+H133+H140</f>
        <v>407090.83517000003</v>
      </c>
      <c r="I119" s="54" t="e">
        <f>#REF!-G119</f>
        <v>#REF!</v>
      </c>
      <c r="J119" s="54" t="e">
        <f>#REF!/G119</f>
        <v>#REF!</v>
      </c>
      <c r="K119" s="63">
        <f>K126+K133+K140</f>
        <v>271669.94988</v>
      </c>
      <c r="L119" s="63">
        <f aca="true" t="shared" si="46" ref="L119:N120">L126+L133+L140</f>
        <v>274426.31169</v>
      </c>
      <c r="M119" s="63">
        <f>M126+M133+M140</f>
        <v>231881.80934</v>
      </c>
      <c r="N119" s="63">
        <f t="shared" si="46"/>
        <v>281353.84617000003</v>
      </c>
      <c r="O119" s="100">
        <f>O126+O133+O140</f>
        <v>204575.45156000002</v>
      </c>
    </row>
    <row r="120" spans="1:15" s="33" customFormat="1" ht="45" customHeight="1">
      <c r="A120" s="1">
        <v>112</v>
      </c>
      <c r="B120" s="17" t="s">
        <v>90</v>
      </c>
      <c r="C120" s="63">
        <f t="shared" si="45"/>
        <v>364186.18165</v>
      </c>
      <c r="D120" s="63">
        <f t="shared" si="45"/>
        <v>407872.08311000007</v>
      </c>
      <c r="E120" s="63">
        <f t="shared" si="45"/>
        <v>593608.25083</v>
      </c>
      <c r="F120" s="54">
        <f t="shared" si="42"/>
        <v>185736.16771999997</v>
      </c>
      <c r="G120" s="63">
        <f>G127+G134+G141</f>
        <v>598137.1072999999</v>
      </c>
      <c r="H120" s="63">
        <f>H127+H134+H141</f>
        <v>474420.96815</v>
      </c>
      <c r="I120" s="54" t="e">
        <f>#REF!-G120</f>
        <v>#REF!</v>
      </c>
      <c r="J120" s="54" t="e">
        <f>#REF!/G120</f>
        <v>#REF!</v>
      </c>
      <c r="K120" s="63">
        <f>K127+K134+K141</f>
        <v>389181.35243</v>
      </c>
      <c r="L120" s="63">
        <f t="shared" si="46"/>
        <v>430245.79688</v>
      </c>
      <c r="M120" s="63">
        <f>M127+M134+M141</f>
        <v>321093.75068</v>
      </c>
      <c r="N120" s="63">
        <f>N127+N134+N141</f>
        <v>373956.28872</v>
      </c>
      <c r="O120" s="100">
        <f>O127+O134+O141</f>
        <v>283782.26784</v>
      </c>
    </row>
    <row r="121" spans="1:15" s="33" customFormat="1" ht="45" customHeight="1">
      <c r="A121" s="1">
        <v>113</v>
      </c>
      <c r="B121" s="17" t="s">
        <v>91</v>
      </c>
      <c r="C121" s="63">
        <f>C135+C142+C128</f>
        <v>82960.52394</v>
      </c>
      <c r="D121" s="63">
        <f>D135+D142+D128</f>
        <v>87511.97683</v>
      </c>
      <c r="E121" s="63">
        <f>E135+E142+E128</f>
        <v>89391.30898999999</v>
      </c>
      <c r="F121" s="54">
        <f t="shared" si="42"/>
        <v>1879.3321599999908</v>
      </c>
      <c r="G121" s="63">
        <f>G135+G142+G128</f>
        <v>89413.47299</v>
      </c>
      <c r="H121" s="63">
        <f>H135+H142+H128</f>
        <v>58921.30128</v>
      </c>
      <c r="I121" s="54" t="e">
        <f>#REF!-G121</f>
        <v>#REF!</v>
      </c>
      <c r="J121" s="54" t="e">
        <f>#REF!/G121</f>
        <v>#REF!</v>
      </c>
      <c r="K121" s="63">
        <f>K135+K142+K128</f>
        <v>53947.63845</v>
      </c>
      <c r="L121" s="63">
        <f>L135+L142+L128</f>
        <v>57469.07408</v>
      </c>
      <c r="M121" s="63">
        <f>M135+M142+M128</f>
        <v>54480.37473</v>
      </c>
      <c r="N121" s="63">
        <f>N135+N142+N128</f>
        <v>57534.3215</v>
      </c>
      <c r="O121" s="100">
        <f>O135+O142+O128</f>
        <v>54313.31923</v>
      </c>
    </row>
    <row r="122" spans="1:15" s="33" customFormat="1" ht="66" customHeight="1">
      <c r="A122" s="1">
        <v>114</v>
      </c>
      <c r="B122" s="17" t="s">
        <v>95</v>
      </c>
      <c r="C122" s="63">
        <f>C129+C136+C143</f>
        <v>150.965</v>
      </c>
      <c r="D122" s="63">
        <f>D129+D136+D143</f>
        <v>504.81449999999995</v>
      </c>
      <c r="E122" s="63">
        <f aca="true" t="shared" si="47" ref="C122:E124">E129+E136+E143</f>
        <v>330.29652</v>
      </c>
      <c r="F122" s="54">
        <f t="shared" si="42"/>
        <v>-174.51797999999997</v>
      </c>
      <c r="G122" s="63">
        <f>G129+G136+G143</f>
        <v>330.29652</v>
      </c>
      <c r="H122" s="63">
        <f>H129+H136</f>
        <v>474.05</v>
      </c>
      <c r="I122" s="63">
        <f aca="true" t="shared" si="48" ref="I122:N122">I129+I136</f>
        <v>0</v>
      </c>
      <c r="J122" s="63">
        <f t="shared" si="48"/>
        <v>0</v>
      </c>
      <c r="K122" s="63">
        <f t="shared" si="48"/>
        <v>0</v>
      </c>
      <c r="L122" s="63">
        <f t="shared" si="48"/>
        <v>0.0027</v>
      </c>
      <c r="M122" s="63">
        <f t="shared" si="48"/>
        <v>0</v>
      </c>
      <c r="N122" s="63">
        <f t="shared" si="48"/>
        <v>0</v>
      </c>
      <c r="O122" s="100">
        <f>O129+O136</f>
        <v>0</v>
      </c>
    </row>
    <row r="123" spans="1:15" s="33" customFormat="1" ht="45" customHeight="1">
      <c r="A123" s="1">
        <v>115</v>
      </c>
      <c r="B123" s="17" t="s">
        <v>92</v>
      </c>
      <c r="C123" s="63">
        <f t="shared" si="47"/>
        <v>3250.1335</v>
      </c>
      <c r="D123" s="63">
        <f>D130+D137+D144</f>
        <v>3812.2922900000003</v>
      </c>
      <c r="E123" s="63">
        <f t="shared" si="47"/>
        <v>0</v>
      </c>
      <c r="F123" s="54">
        <f t="shared" si="42"/>
        <v>-3812.2922900000003</v>
      </c>
      <c r="G123" s="63">
        <f>G130+G137+G144</f>
        <v>0</v>
      </c>
      <c r="H123" s="63">
        <f>H130+H137+H144</f>
        <v>12224.18417</v>
      </c>
      <c r="I123" s="54" t="e">
        <f>#REF!-G123</f>
        <v>#REF!</v>
      </c>
      <c r="J123" s="54" t="e">
        <f>#REF!/G123</f>
        <v>#REF!</v>
      </c>
      <c r="K123" s="63">
        <f>K130+K137+K144</f>
        <v>0</v>
      </c>
      <c r="L123" s="63">
        <f aca="true" t="shared" si="49" ref="L123:N124">L130+L137+L144</f>
        <v>10242.09197</v>
      </c>
      <c r="M123" s="63">
        <f>M130+M137+M144</f>
        <v>0</v>
      </c>
      <c r="N123" s="63">
        <f t="shared" si="49"/>
        <v>8789.45917</v>
      </c>
      <c r="O123" s="100">
        <f>O130+O137+O144</f>
        <v>0</v>
      </c>
    </row>
    <row r="124" spans="1:15" s="33" customFormat="1" ht="45" customHeight="1">
      <c r="A124" s="1">
        <v>116</v>
      </c>
      <c r="B124" s="17" t="s">
        <v>93</v>
      </c>
      <c r="C124" s="63">
        <f t="shared" si="47"/>
        <v>2805.80829</v>
      </c>
      <c r="D124" s="63">
        <f>D131+D138+D145</f>
        <v>5623.23097</v>
      </c>
      <c r="E124" s="63">
        <f t="shared" si="47"/>
        <v>12012.58868</v>
      </c>
      <c r="F124" s="54">
        <f t="shared" si="42"/>
        <v>6389.357710000001</v>
      </c>
      <c r="G124" s="63">
        <f>G131+G138+G145</f>
        <v>12012.58868</v>
      </c>
      <c r="H124" s="63">
        <f>H131+H138+H145</f>
        <v>1926</v>
      </c>
      <c r="I124" s="54" t="e">
        <f>#REF!-G124</f>
        <v>#REF!</v>
      </c>
      <c r="J124" s="54" t="e">
        <f>#REF!/G124</f>
        <v>#REF!</v>
      </c>
      <c r="K124" s="63">
        <f>K131+K138+K145</f>
        <v>11944.46816</v>
      </c>
      <c r="L124" s="63">
        <f t="shared" si="49"/>
        <v>1985.7</v>
      </c>
      <c r="M124" s="63">
        <f>M131+M138+M145</f>
        <v>8206.88526</v>
      </c>
      <c r="N124" s="63">
        <f t="shared" si="49"/>
        <v>0</v>
      </c>
      <c r="O124" s="100">
        <f>O131+O138+O145</f>
        <v>8335.83332</v>
      </c>
    </row>
    <row r="125" spans="1:15" ht="30" customHeight="1">
      <c r="A125" s="1">
        <v>117</v>
      </c>
      <c r="B125" s="18" t="s">
        <v>48</v>
      </c>
      <c r="C125" s="54">
        <f>SUM(C126:C131)</f>
        <v>255667.73292999997</v>
      </c>
      <c r="D125" s="54">
        <f>SUM(D126:D131)</f>
        <v>258833.66137</v>
      </c>
      <c r="E125" s="54">
        <f>SUM(E126:E131)</f>
        <v>266328.59247999993</v>
      </c>
      <c r="F125" s="54">
        <f t="shared" si="42"/>
        <v>7494.931109999947</v>
      </c>
      <c r="G125" s="54">
        <f>SUM(G126:G131)</f>
        <v>266789.72986</v>
      </c>
      <c r="H125" s="54">
        <f>SUM(H126:H131)</f>
        <v>515815.98411</v>
      </c>
      <c r="I125" s="54">
        <f aca="true" t="shared" si="50" ref="I125:N125">SUM(I126:I131)</f>
        <v>0</v>
      </c>
      <c r="J125" s="54">
        <f t="shared" si="50"/>
        <v>0</v>
      </c>
      <c r="K125" s="54">
        <f t="shared" si="50"/>
        <v>209167.90892000002</v>
      </c>
      <c r="L125" s="54">
        <f t="shared" si="50"/>
        <v>277075.57732000004</v>
      </c>
      <c r="M125" s="54">
        <f t="shared" si="50"/>
        <v>205924.32001000002</v>
      </c>
      <c r="N125" s="54">
        <f t="shared" si="50"/>
        <v>279909.91556</v>
      </c>
      <c r="O125" s="99">
        <f>SUM(O126:O131)</f>
        <v>214065.67195000002</v>
      </c>
    </row>
    <row r="126" spans="1:15" ht="30" customHeight="1">
      <c r="A126" s="1">
        <v>118</v>
      </c>
      <c r="B126" s="7" t="s">
        <v>16</v>
      </c>
      <c r="C126" s="63">
        <v>107542.97828</v>
      </c>
      <c r="D126" s="63">
        <v>109418.59661</v>
      </c>
      <c r="E126" s="63">
        <v>105819.01754</v>
      </c>
      <c r="F126" s="54">
        <f t="shared" si="42"/>
        <v>-3599.5790699999925</v>
      </c>
      <c r="G126" s="63">
        <v>105092.76509</v>
      </c>
      <c r="H126" s="63">
        <v>284843.58617</v>
      </c>
      <c r="I126" s="54"/>
      <c r="J126" s="54"/>
      <c r="K126" s="63">
        <v>92816.04855</v>
      </c>
      <c r="L126" s="63">
        <v>112948.67697</v>
      </c>
      <c r="M126" s="63">
        <v>88798.64564</v>
      </c>
      <c r="N126" s="63">
        <v>119876.21145</v>
      </c>
      <c r="O126" s="100">
        <v>88320.34637</v>
      </c>
    </row>
    <row r="127" spans="1:15" ht="30" customHeight="1">
      <c r="A127" s="1">
        <v>119</v>
      </c>
      <c r="B127" s="7" t="s">
        <v>17</v>
      </c>
      <c r="C127" s="63">
        <f>59041.57417+2803.802</f>
        <v>61845.37617</v>
      </c>
      <c r="D127" s="63">
        <f>61866.36084+449.6063+2+6.678+189.29623+9.1233</f>
        <v>62523.06467</v>
      </c>
      <c r="E127" s="63">
        <f>66537.47927+203.4+21.135+209.363+10+2</f>
        <v>66983.37726999998</v>
      </c>
      <c r="F127" s="54">
        <f t="shared" si="42"/>
        <v>4460.312599999983</v>
      </c>
      <c r="G127" s="63">
        <f>67702.7051+203.4+21.135+209.363+10+2</f>
        <v>68148.6031</v>
      </c>
      <c r="H127" s="63">
        <f>159120.66649+232.196</f>
        <v>159352.86249</v>
      </c>
      <c r="I127" s="54"/>
      <c r="J127" s="54"/>
      <c r="K127" s="63">
        <v>58899.15376</v>
      </c>
      <c r="L127" s="63">
        <f>96196.3186+219.413</f>
        <v>96415.7316</v>
      </c>
      <c r="M127" s="63">
        <v>59637.91438</v>
      </c>
      <c r="N127" s="63">
        <v>93709.92344</v>
      </c>
      <c r="O127" s="100">
        <v>67320.77303</v>
      </c>
    </row>
    <row r="128" spans="1:15" ht="30" customHeight="1">
      <c r="A128" s="1">
        <v>120</v>
      </c>
      <c r="B128" s="7" t="s">
        <v>86</v>
      </c>
      <c r="C128" s="63">
        <f>75021.19174+6786.6122</f>
        <v>81807.80394</v>
      </c>
      <c r="D128" s="63">
        <v>79203.27683</v>
      </c>
      <c r="E128" s="63">
        <f>82770.68199+598.427</f>
        <v>83369.10899</v>
      </c>
      <c r="F128" s="54">
        <f t="shared" si="42"/>
        <v>4165.832159999991</v>
      </c>
      <c r="G128" s="63">
        <f>82792.84599+598.427</f>
        <v>83391.27299</v>
      </c>
      <c r="H128" s="63">
        <v>58921.30128</v>
      </c>
      <c r="I128" s="54"/>
      <c r="J128" s="54"/>
      <c r="K128" s="63">
        <v>47448.23845</v>
      </c>
      <c r="L128" s="63">
        <v>57469.07408</v>
      </c>
      <c r="M128" s="63">
        <v>49280.87473</v>
      </c>
      <c r="N128" s="63">
        <v>57534.3215</v>
      </c>
      <c r="O128" s="100">
        <v>50088.71923</v>
      </c>
    </row>
    <row r="129" spans="1:15" ht="30" customHeight="1">
      <c r="A129" s="1">
        <v>121</v>
      </c>
      <c r="B129" s="7" t="s">
        <v>94</v>
      </c>
      <c r="C129" s="63">
        <v>23.9</v>
      </c>
      <c r="D129" s="63">
        <v>89.6</v>
      </c>
      <c r="E129" s="63">
        <v>84.5</v>
      </c>
      <c r="F129" s="54">
        <f t="shared" si="42"/>
        <v>-5.099999999999994</v>
      </c>
      <c r="G129" s="63">
        <v>84.5</v>
      </c>
      <c r="H129" s="63">
        <v>474.05</v>
      </c>
      <c r="I129" s="54"/>
      <c r="J129" s="54"/>
      <c r="K129" s="63">
        <v>0</v>
      </c>
      <c r="L129" s="63">
        <v>0.0027</v>
      </c>
      <c r="M129" s="63">
        <v>0</v>
      </c>
      <c r="N129" s="63">
        <v>0</v>
      </c>
      <c r="O129" s="100">
        <v>0</v>
      </c>
    </row>
    <row r="130" spans="1:15" ht="30" customHeight="1">
      <c r="A130" s="1">
        <v>122</v>
      </c>
      <c r="B130" s="7" t="s">
        <v>18</v>
      </c>
      <c r="C130" s="63">
        <v>1641.86625</v>
      </c>
      <c r="D130" s="63">
        <v>1975.89229</v>
      </c>
      <c r="E130" s="63">
        <v>0</v>
      </c>
      <c r="F130" s="54">
        <f t="shared" si="42"/>
        <v>-1975.89229</v>
      </c>
      <c r="G130" s="63">
        <v>0</v>
      </c>
      <c r="H130" s="63">
        <v>12224.18417</v>
      </c>
      <c r="I130" s="54"/>
      <c r="J130" s="54"/>
      <c r="K130" s="63">
        <v>0</v>
      </c>
      <c r="L130" s="63">
        <v>10242.09197</v>
      </c>
      <c r="M130" s="63">
        <v>0</v>
      </c>
      <c r="N130" s="63">
        <v>8789.45917</v>
      </c>
      <c r="O130" s="100">
        <v>0</v>
      </c>
    </row>
    <row r="131" spans="1:15" ht="30" customHeight="1">
      <c r="A131" s="1">
        <v>123</v>
      </c>
      <c r="B131" s="7" t="s">
        <v>19</v>
      </c>
      <c r="C131" s="63">
        <v>2805.80829</v>
      </c>
      <c r="D131" s="63">
        <v>5623.23097</v>
      </c>
      <c r="E131" s="63">
        <v>10072.58868</v>
      </c>
      <c r="F131" s="54">
        <f t="shared" si="42"/>
        <v>4449.357710000001</v>
      </c>
      <c r="G131" s="63">
        <v>10072.58868</v>
      </c>
      <c r="H131" s="63">
        <v>0</v>
      </c>
      <c r="I131" s="54"/>
      <c r="J131" s="54"/>
      <c r="K131" s="63">
        <v>10004.46816</v>
      </c>
      <c r="L131" s="63">
        <v>0</v>
      </c>
      <c r="M131" s="63">
        <v>8206.88526</v>
      </c>
      <c r="N131" s="63">
        <v>0</v>
      </c>
      <c r="O131" s="100">
        <v>8335.83332</v>
      </c>
    </row>
    <row r="132" spans="1:15" ht="30" customHeight="1">
      <c r="A132" s="1">
        <v>124</v>
      </c>
      <c r="B132" s="18" t="s">
        <v>20</v>
      </c>
      <c r="C132" s="54">
        <f>SUM(C133:C138)</f>
        <v>521492.9888699999</v>
      </c>
      <c r="D132" s="54">
        <f>SUM(D133:D138)</f>
        <v>560790.0643000001</v>
      </c>
      <c r="E132" s="54">
        <f>SUM(E133:E138)</f>
        <v>708072.5519</v>
      </c>
      <c r="F132" s="54">
        <f t="shared" si="42"/>
        <v>147282.48759999988</v>
      </c>
      <c r="G132" s="54">
        <f>SUM(G133:G138)</f>
        <v>711436.1825399998</v>
      </c>
      <c r="H132" s="54">
        <f>SUM(H133:H138)</f>
        <v>439241.35466</v>
      </c>
      <c r="I132" s="54">
        <f aca="true" t="shared" si="51" ref="I132:N132">SUM(I133:I138)</f>
        <v>0</v>
      </c>
      <c r="J132" s="54">
        <f t="shared" si="51"/>
        <v>0</v>
      </c>
      <c r="K132" s="54">
        <f t="shared" si="51"/>
        <v>517575.5</v>
      </c>
      <c r="L132" s="54">
        <f t="shared" si="51"/>
        <v>497293.39999999997</v>
      </c>
      <c r="M132" s="54">
        <f t="shared" si="51"/>
        <v>409738.5</v>
      </c>
      <c r="N132" s="54">
        <f t="shared" si="51"/>
        <v>441724</v>
      </c>
      <c r="O132" s="99">
        <f>SUM(O133:O138)</f>
        <v>336941.19999999995</v>
      </c>
    </row>
    <row r="133" spans="1:15" ht="30" customHeight="1">
      <c r="A133" s="1">
        <v>125</v>
      </c>
      <c r="B133" s="7" t="s">
        <v>16</v>
      </c>
      <c r="C133" s="63">
        <f>571.00582+1091.65529+195750.52885+19338.92564</f>
        <v>216752.1156</v>
      </c>
      <c r="D133" s="63">
        <f>971.62602+177781.51138+23873.03396+200+2054.56</f>
        <v>204880.73136</v>
      </c>
      <c r="E133" s="63">
        <f>1123.822+170150.39126+1178.46856+787</f>
        <v>173239.68182</v>
      </c>
      <c r="F133" s="54">
        <f t="shared" si="42"/>
        <v>-31641.049540000007</v>
      </c>
      <c r="G133" s="63">
        <f>1123.822+170150.39126+1178.46856+787</f>
        <v>173239.68182</v>
      </c>
      <c r="H133" s="63">
        <v>122247.249</v>
      </c>
      <c r="I133" s="54"/>
      <c r="J133" s="54"/>
      <c r="K133" s="63">
        <v>178853.90133</v>
      </c>
      <c r="L133" s="63">
        <v>161477.63472</v>
      </c>
      <c r="M133" s="63">
        <v>143083.1637</v>
      </c>
      <c r="N133" s="63">
        <v>161477.63472</v>
      </c>
      <c r="O133" s="100">
        <v>116255.10519</v>
      </c>
    </row>
    <row r="134" spans="1:15" ht="30" customHeight="1">
      <c r="A134" s="1">
        <v>126</v>
      </c>
      <c r="B134" s="7" t="s">
        <v>17</v>
      </c>
      <c r="C134" s="63">
        <f>1057.6+20667.05591+16245.54687+1090.57988+697.1993+258295.69287+692.81114+4094.82901+1067.23313+1048.07491-2803.802</f>
        <v>302152.82102</v>
      </c>
      <c r="D134" s="63">
        <f>2610.8+667.744+24810.45738+19118.92314+912.23+763.4679+277611.35953+3576.65567+133.51814+2738.8945+4340.59292+4366.59114+3000+904.88165-2-6.678-189.29623-9.1233</f>
        <v>345349.0184400001</v>
      </c>
      <c r="E134" s="63">
        <f>2113.435+25756.5+21145.663+130223.33334+10089.178+273136.81222+5586+15800+2000+36350.12+1264.33+3402-2-10-209.363-21.135</f>
        <v>526624.8735600001</v>
      </c>
      <c r="F134" s="54">
        <f t="shared" si="42"/>
        <v>181275.85512000002</v>
      </c>
      <c r="G134" s="63">
        <f>2113.435+25756.5+21145.663+130223.33334+10089.178+273136.81222+5586+15800+2000+38885.35664+828.394+1264.33+3402-2-10-209.363-21.135</f>
        <v>529988.5042</v>
      </c>
      <c r="H134" s="63">
        <f>315068.10566</f>
        <v>315068.10566</v>
      </c>
      <c r="I134" s="54"/>
      <c r="J134" s="54"/>
      <c r="K134" s="63">
        <v>330282.19867</v>
      </c>
      <c r="L134" s="63">
        <f>333830.06528</f>
        <v>333830.06528</v>
      </c>
      <c r="M134" s="63">
        <v>261455.8363</v>
      </c>
      <c r="N134" s="63">
        <v>280246.36528</v>
      </c>
      <c r="O134" s="100">
        <v>216461.49481</v>
      </c>
    </row>
    <row r="135" spans="1:15" ht="30" customHeight="1">
      <c r="A135" s="1">
        <v>127</v>
      </c>
      <c r="B135" s="7" t="s">
        <v>86</v>
      </c>
      <c r="C135" s="63">
        <f>10.32+842.4+6786.6122-6786.6122</f>
        <v>852.7200000000003</v>
      </c>
      <c r="D135" s="63">
        <v>8308.7</v>
      </c>
      <c r="E135" s="63">
        <v>6022.2</v>
      </c>
      <c r="F135" s="54">
        <f t="shared" si="42"/>
        <v>-2286.500000000001</v>
      </c>
      <c r="G135" s="63">
        <v>6022.2</v>
      </c>
      <c r="H135" s="63">
        <v>0</v>
      </c>
      <c r="I135" s="54"/>
      <c r="J135" s="54"/>
      <c r="K135" s="63">
        <v>6499.4</v>
      </c>
      <c r="L135" s="63">
        <v>0</v>
      </c>
      <c r="M135" s="63">
        <v>5199.5</v>
      </c>
      <c r="N135" s="63">
        <v>0</v>
      </c>
      <c r="O135" s="100">
        <v>4224.6</v>
      </c>
    </row>
    <row r="136" spans="1:15" ht="30" customHeight="1">
      <c r="A136" s="1">
        <v>128</v>
      </c>
      <c r="B136" s="7" t="s">
        <v>94</v>
      </c>
      <c r="C136" s="63">
        <v>127.065</v>
      </c>
      <c r="D136" s="63">
        <v>415.2145</v>
      </c>
      <c r="E136" s="63">
        <v>245.79652</v>
      </c>
      <c r="F136" s="54">
        <f t="shared" si="42"/>
        <v>-169.41798</v>
      </c>
      <c r="G136" s="63">
        <v>245.79652</v>
      </c>
      <c r="H136" s="63">
        <v>0</v>
      </c>
      <c r="I136" s="54"/>
      <c r="J136" s="54"/>
      <c r="K136" s="63">
        <v>0</v>
      </c>
      <c r="L136" s="63">
        <v>0</v>
      </c>
      <c r="M136" s="63">
        <v>0</v>
      </c>
      <c r="N136" s="63">
        <v>0</v>
      </c>
      <c r="O136" s="100">
        <v>0</v>
      </c>
    </row>
    <row r="137" spans="1:15" ht="30" customHeight="1">
      <c r="A137" s="1">
        <v>129</v>
      </c>
      <c r="B137" s="7" t="s">
        <v>18</v>
      </c>
      <c r="C137" s="63">
        <v>1608.26725</v>
      </c>
      <c r="D137" s="63">
        <v>1836.4</v>
      </c>
      <c r="E137" s="63">
        <v>0</v>
      </c>
      <c r="F137" s="54">
        <f t="shared" si="42"/>
        <v>-1836.4</v>
      </c>
      <c r="G137" s="63">
        <v>0</v>
      </c>
      <c r="H137" s="63">
        <v>0</v>
      </c>
      <c r="I137" s="54"/>
      <c r="J137" s="54"/>
      <c r="K137" s="63">
        <v>0</v>
      </c>
      <c r="L137" s="63">
        <v>0</v>
      </c>
      <c r="M137" s="63">
        <v>0</v>
      </c>
      <c r="N137" s="63">
        <v>0</v>
      </c>
      <c r="O137" s="100">
        <v>0</v>
      </c>
    </row>
    <row r="138" spans="1:15" ht="30" customHeight="1">
      <c r="A138" s="1">
        <v>130</v>
      </c>
      <c r="B138" s="7" t="s">
        <v>19</v>
      </c>
      <c r="C138" s="63">
        <v>0</v>
      </c>
      <c r="D138" s="63">
        <v>0</v>
      </c>
      <c r="E138" s="63">
        <v>1940</v>
      </c>
      <c r="F138" s="54">
        <f t="shared" si="42"/>
        <v>1940</v>
      </c>
      <c r="G138" s="63">
        <v>1940</v>
      </c>
      <c r="H138" s="63">
        <v>1926</v>
      </c>
      <c r="I138" s="54"/>
      <c r="J138" s="54"/>
      <c r="K138" s="63">
        <v>1940</v>
      </c>
      <c r="L138" s="63">
        <v>1985.7</v>
      </c>
      <c r="M138" s="63">
        <v>0</v>
      </c>
      <c r="N138" s="63">
        <v>0</v>
      </c>
      <c r="O138" s="100">
        <v>0</v>
      </c>
    </row>
    <row r="139" spans="1:15" ht="30" customHeight="1">
      <c r="A139" s="1">
        <v>131</v>
      </c>
      <c r="B139" s="18" t="s">
        <v>21</v>
      </c>
      <c r="C139" s="54">
        <f>SUM(C140:C145)</f>
        <v>487.98446</v>
      </c>
      <c r="D139" s="54">
        <f>SUM(D140:D145)</f>
        <v>0</v>
      </c>
      <c r="E139" s="54">
        <f>SUM(E140:E145)</f>
        <v>0</v>
      </c>
      <c r="F139" s="54">
        <f t="shared" si="42"/>
        <v>0</v>
      </c>
      <c r="G139" s="54">
        <f>SUM(G140:G145)</f>
        <v>0</v>
      </c>
      <c r="H139" s="54">
        <f>SUM(H140:H145)</f>
        <v>0</v>
      </c>
      <c r="I139" s="54" t="e">
        <f>#REF!-G139</f>
        <v>#REF!</v>
      </c>
      <c r="J139" s="54" t="e">
        <f>#REF!/G139</f>
        <v>#REF!</v>
      </c>
      <c r="K139" s="54">
        <f>SUM(K140:K145)</f>
        <v>0</v>
      </c>
      <c r="L139" s="54">
        <f>SUM(L140:L145)</f>
        <v>0</v>
      </c>
      <c r="M139" s="54">
        <f>SUM(M140:M145)</f>
        <v>0</v>
      </c>
      <c r="N139" s="54">
        <f>SUM(N140:N145)</f>
        <v>0</v>
      </c>
      <c r="O139" s="99">
        <f>SUM(O140:O145)</f>
        <v>0</v>
      </c>
    </row>
    <row r="140" spans="1:15" ht="30" customHeight="1" hidden="1">
      <c r="A140" s="1">
        <v>132</v>
      </c>
      <c r="B140" s="7" t="s">
        <v>16</v>
      </c>
      <c r="C140" s="63">
        <v>0</v>
      </c>
      <c r="D140" s="63">
        <v>0</v>
      </c>
      <c r="E140" s="63">
        <v>0</v>
      </c>
      <c r="F140" s="54">
        <f t="shared" si="42"/>
        <v>0</v>
      </c>
      <c r="G140" s="63">
        <v>0</v>
      </c>
      <c r="H140" s="96">
        <v>0</v>
      </c>
      <c r="I140" s="84" t="e">
        <f>#REF!-G140</f>
        <v>#REF!</v>
      </c>
      <c r="J140" s="84">
        <v>0</v>
      </c>
      <c r="K140" s="96">
        <v>0</v>
      </c>
      <c r="L140" s="96">
        <v>0</v>
      </c>
      <c r="M140" s="96">
        <v>0</v>
      </c>
      <c r="N140" s="96">
        <v>0</v>
      </c>
      <c r="O140" s="100">
        <v>0</v>
      </c>
    </row>
    <row r="141" spans="1:15" ht="30" customHeight="1">
      <c r="A141" s="1">
        <v>133</v>
      </c>
      <c r="B141" s="7" t="s">
        <v>17</v>
      </c>
      <c r="C141" s="63">
        <v>187.98446</v>
      </c>
      <c r="D141" s="63">
        <v>0</v>
      </c>
      <c r="E141" s="63">
        <v>0</v>
      </c>
      <c r="F141" s="54">
        <f t="shared" si="42"/>
        <v>0</v>
      </c>
      <c r="G141" s="63">
        <v>0</v>
      </c>
      <c r="H141" s="63">
        <v>0</v>
      </c>
      <c r="I141" s="54"/>
      <c r="J141" s="54"/>
      <c r="K141" s="63">
        <v>0</v>
      </c>
      <c r="L141" s="63">
        <v>0</v>
      </c>
      <c r="M141" s="63">
        <v>0</v>
      </c>
      <c r="N141" s="63">
        <v>0</v>
      </c>
      <c r="O141" s="100">
        <v>0</v>
      </c>
    </row>
    <row r="142" spans="1:15" ht="30" customHeight="1">
      <c r="A142" s="1">
        <v>134</v>
      </c>
      <c r="B142" s="7" t="s">
        <v>86</v>
      </c>
      <c r="C142" s="63">
        <v>300</v>
      </c>
      <c r="D142" s="63">
        <v>0</v>
      </c>
      <c r="E142" s="63">
        <v>0</v>
      </c>
      <c r="F142" s="54">
        <f t="shared" si="42"/>
        <v>0</v>
      </c>
      <c r="G142" s="63">
        <v>0</v>
      </c>
      <c r="H142" s="63">
        <v>0</v>
      </c>
      <c r="I142" s="54"/>
      <c r="J142" s="54"/>
      <c r="K142" s="63">
        <v>0</v>
      </c>
      <c r="L142" s="63">
        <v>0</v>
      </c>
      <c r="M142" s="63">
        <v>0</v>
      </c>
      <c r="N142" s="63">
        <v>0</v>
      </c>
      <c r="O142" s="100">
        <v>0</v>
      </c>
    </row>
    <row r="143" spans="1:15" ht="30" customHeight="1" hidden="1">
      <c r="A143" s="1">
        <v>135</v>
      </c>
      <c r="B143" s="7" t="s">
        <v>94</v>
      </c>
      <c r="C143" s="63">
        <v>0</v>
      </c>
      <c r="D143" s="63">
        <v>0</v>
      </c>
      <c r="E143" s="63">
        <v>0</v>
      </c>
      <c r="F143" s="54">
        <f t="shared" si="42"/>
        <v>0</v>
      </c>
      <c r="G143" s="96">
        <v>0</v>
      </c>
      <c r="H143" s="63">
        <v>0</v>
      </c>
      <c r="I143" s="54" t="e">
        <f>#REF!-G143</f>
        <v>#REF!</v>
      </c>
      <c r="J143" s="54">
        <v>0</v>
      </c>
      <c r="K143" s="63">
        <v>0</v>
      </c>
      <c r="L143" s="63">
        <v>0</v>
      </c>
      <c r="M143" s="63">
        <v>0</v>
      </c>
      <c r="N143" s="63">
        <v>0</v>
      </c>
      <c r="O143" s="100">
        <v>0</v>
      </c>
    </row>
    <row r="144" spans="1:15" ht="30" customHeight="1" hidden="1">
      <c r="A144" s="1">
        <v>136</v>
      </c>
      <c r="B144" s="7" t="s">
        <v>18</v>
      </c>
      <c r="C144" s="63">
        <v>0</v>
      </c>
      <c r="D144" s="63">
        <v>0</v>
      </c>
      <c r="E144" s="63">
        <v>0</v>
      </c>
      <c r="F144" s="54">
        <f t="shared" si="42"/>
        <v>0</v>
      </c>
      <c r="G144" s="96">
        <v>0</v>
      </c>
      <c r="H144" s="63">
        <v>0</v>
      </c>
      <c r="I144" s="54" t="e">
        <f>#REF!-G144</f>
        <v>#REF!</v>
      </c>
      <c r="J144" s="54">
        <v>0</v>
      </c>
      <c r="K144" s="63">
        <v>0</v>
      </c>
      <c r="L144" s="63">
        <v>0</v>
      </c>
      <c r="M144" s="63">
        <v>0</v>
      </c>
      <c r="N144" s="63">
        <v>0</v>
      </c>
      <c r="O144" s="100">
        <v>0</v>
      </c>
    </row>
    <row r="145" spans="1:15" ht="30" customHeight="1" hidden="1">
      <c r="A145" s="1">
        <v>137</v>
      </c>
      <c r="B145" s="7" t="s">
        <v>19</v>
      </c>
      <c r="C145" s="63">
        <v>0</v>
      </c>
      <c r="D145" s="63">
        <v>0</v>
      </c>
      <c r="E145" s="63">
        <v>0</v>
      </c>
      <c r="F145" s="54">
        <f t="shared" si="42"/>
        <v>0</v>
      </c>
      <c r="G145" s="96">
        <v>0</v>
      </c>
      <c r="H145" s="63">
        <v>0</v>
      </c>
      <c r="I145" s="54" t="e">
        <f>#REF!-G145</f>
        <v>#REF!</v>
      </c>
      <c r="J145" s="54" t="e">
        <f>#REF!/G145</f>
        <v>#REF!</v>
      </c>
      <c r="K145" s="63">
        <v>0</v>
      </c>
      <c r="L145" s="63">
        <v>0</v>
      </c>
      <c r="M145" s="63">
        <v>0</v>
      </c>
      <c r="N145" s="63">
        <v>0</v>
      </c>
      <c r="O145" s="100">
        <v>0</v>
      </c>
    </row>
    <row r="146" spans="1:15" ht="39.75" customHeight="1">
      <c r="A146" s="1">
        <v>138</v>
      </c>
      <c r="B146" s="7" t="s">
        <v>49</v>
      </c>
      <c r="C146" s="54">
        <f>SUM(C147:C148)</f>
        <v>27518.78451</v>
      </c>
      <c r="D146" s="54">
        <f>SUM(D147:D148)</f>
        <v>34466.685659999996</v>
      </c>
      <c r="E146" s="54">
        <f>SUM(E147:E148)</f>
        <v>35611.84978</v>
      </c>
      <c r="F146" s="54">
        <f t="shared" si="42"/>
        <v>1145.1641200000013</v>
      </c>
      <c r="G146" s="54">
        <f>SUM(G147:G148)</f>
        <v>35802.629</v>
      </c>
      <c r="H146" s="54">
        <f>H147+H148</f>
        <v>26868.25256</v>
      </c>
      <c r="I146" s="54" t="e">
        <f aca="true" t="shared" si="52" ref="I146:N146">I147+I148</f>
        <v>#REF!</v>
      </c>
      <c r="J146" s="54">
        <f t="shared" si="52"/>
        <v>0</v>
      </c>
      <c r="K146" s="54">
        <f t="shared" si="52"/>
        <v>24948.352609999998</v>
      </c>
      <c r="L146" s="54">
        <f t="shared" si="52"/>
        <v>24727.36648</v>
      </c>
      <c r="M146" s="54">
        <f t="shared" si="52"/>
        <v>25707.403250000003</v>
      </c>
      <c r="N146" s="54">
        <f t="shared" si="52"/>
        <v>24800.37959</v>
      </c>
      <c r="O146" s="99">
        <f>O147+O148</f>
        <v>23988.3016</v>
      </c>
    </row>
    <row r="147" spans="1:15" ht="45" customHeight="1">
      <c r="A147" s="1">
        <v>139</v>
      </c>
      <c r="B147" s="17" t="s">
        <v>104</v>
      </c>
      <c r="C147" s="63">
        <f>C150+C153+C156</f>
        <v>27121.8528</v>
      </c>
      <c r="D147" s="63">
        <f>D150+D153+D156</f>
        <v>32765.0087</v>
      </c>
      <c r="E147" s="63">
        <f>E150+E153+E156</f>
        <v>35572.85786</v>
      </c>
      <c r="F147" s="54">
        <f t="shared" si="42"/>
        <v>2807.849159999998</v>
      </c>
      <c r="G147" s="63">
        <f>G150+G153+G156</f>
        <v>35763.63708</v>
      </c>
      <c r="H147" s="54">
        <f>H150+H153</f>
        <v>26868.25256</v>
      </c>
      <c r="I147" s="54">
        <f aca="true" t="shared" si="53" ref="I147:N147">I150+I153</f>
        <v>0</v>
      </c>
      <c r="J147" s="54">
        <f t="shared" si="53"/>
        <v>0</v>
      </c>
      <c r="K147" s="54">
        <f t="shared" si="53"/>
        <v>24948.352609999998</v>
      </c>
      <c r="L147" s="54">
        <f t="shared" si="53"/>
        <v>24727.36648</v>
      </c>
      <c r="M147" s="54">
        <f t="shared" si="53"/>
        <v>25707.403250000003</v>
      </c>
      <c r="N147" s="54">
        <f t="shared" si="53"/>
        <v>24800.37959</v>
      </c>
      <c r="O147" s="99">
        <f>O150+O153</f>
        <v>23988.3016</v>
      </c>
    </row>
    <row r="148" spans="1:15" ht="45" customHeight="1">
      <c r="A148" s="1">
        <v>140</v>
      </c>
      <c r="B148" s="17" t="s">
        <v>105</v>
      </c>
      <c r="C148" s="63">
        <f>C151</f>
        <v>396.93171</v>
      </c>
      <c r="D148" s="63">
        <f>D151</f>
        <v>1701.67696</v>
      </c>
      <c r="E148" s="63">
        <f>E151</f>
        <v>38.99192</v>
      </c>
      <c r="F148" s="54">
        <f t="shared" si="42"/>
        <v>-1662.68504</v>
      </c>
      <c r="G148" s="63">
        <f>G151</f>
        <v>38.99192</v>
      </c>
      <c r="H148" s="63">
        <f>H151</f>
        <v>0</v>
      </c>
      <c r="I148" s="54" t="e">
        <f>#REF!-G148</f>
        <v>#REF!</v>
      </c>
      <c r="J148" s="54">
        <v>0</v>
      </c>
      <c r="K148" s="63">
        <f>K151</f>
        <v>0</v>
      </c>
      <c r="L148" s="63">
        <f>L151</f>
        <v>0</v>
      </c>
      <c r="M148" s="63">
        <f>M151</f>
        <v>0</v>
      </c>
      <c r="N148" s="63">
        <f>N151</f>
        <v>0</v>
      </c>
      <c r="O148" s="100">
        <f>O151</f>
        <v>0</v>
      </c>
    </row>
    <row r="149" spans="1:15" ht="30" customHeight="1">
      <c r="A149" s="1">
        <v>141</v>
      </c>
      <c r="B149" s="18" t="s">
        <v>48</v>
      </c>
      <c r="C149" s="54">
        <f>SUM(C150:C151)</f>
        <v>24587.98728</v>
      </c>
      <c r="D149" s="54">
        <f>SUM(D150:D151)</f>
        <v>24965.08822</v>
      </c>
      <c r="E149" s="54">
        <f>SUM(E150:E151)</f>
        <v>25844.413109999998</v>
      </c>
      <c r="F149" s="54">
        <f t="shared" si="42"/>
        <v>879.3248899999962</v>
      </c>
      <c r="G149" s="54">
        <f>SUM(G150:G151)</f>
        <v>20459.492329999997</v>
      </c>
      <c r="H149" s="54">
        <f>SUM(H150:H151)</f>
        <v>26868.25256</v>
      </c>
      <c r="I149" s="54">
        <f aca="true" t="shared" si="54" ref="I149:N149">SUM(I150:I151)</f>
        <v>0</v>
      </c>
      <c r="J149" s="54">
        <f t="shared" si="54"/>
        <v>0</v>
      </c>
      <c r="K149" s="54">
        <f t="shared" si="54"/>
        <v>18518.34756</v>
      </c>
      <c r="L149" s="54">
        <f t="shared" si="54"/>
        <v>24727.36648</v>
      </c>
      <c r="M149" s="54">
        <f t="shared" si="54"/>
        <v>20537.30325</v>
      </c>
      <c r="N149" s="54">
        <f t="shared" si="54"/>
        <v>24800.37959</v>
      </c>
      <c r="O149" s="99">
        <f>SUM(O150:O151)</f>
        <v>19656.9016</v>
      </c>
    </row>
    <row r="150" spans="1:15" ht="30" customHeight="1">
      <c r="A150" s="1">
        <v>142</v>
      </c>
      <c r="B150" s="7" t="s">
        <v>46</v>
      </c>
      <c r="C150" s="63">
        <f>20796.4723+3394.58327</f>
        <v>24191.05557</v>
      </c>
      <c r="D150" s="63">
        <f>18349.01126+4914.4</f>
        <v>23263.41126</v>
      </c>
      <c r="E150" s="63">
        <f>19862.33312+300.048+67.34007+5575.7</f>
        <v>25805.421189999997</v>
      </c>
      <c r="F150" s="54">
        <f t="shared" si="42"/>
        <v>2542.0099299999965</v>
      </c>
      <c r="G150" s="63">
        <f>20053.11234+300.048+67.34007</f>
        <v>20420.500409999997</v>
      </c>
      <c r="H150" s="63">
        <v>26868.25256</v>
      </c>
      <c r="I150" s="63"/>
      <c r="J150" s="63"/>
      <c r="K150" s="63">
        <v>18518.34756</v>
      </c>
      <c r="L150" s="63">
        <v>24727.36648</v>
      </c>
      <c r="M150" s="63">
        <v>20537.30325</v>
      </c>
      <c r="N150" s="63">
        <v>24800.37959</v>
      </c>
      <c r="O150" s="100">
        <v>19656.9016</v>
      </c>
    </row>
    <row r="151" spans="1:15" ht="30" customHeight="1">
      <c r="A151" s="1">
        <v>143</v>
      </c>
      <c r="B151" s="7" t="s">
        <v>47</v>
      </c>
      <c r="C151" s="63">
        <v>396.93171</v>
      </c>
      <c r="D151" s="63">
        <v>1701.67696</v>
      </c>
      <c r="E151" s="63">
        <v>38.99192</v>
      </c>
      <c r="F151" s="54">
        <f t="shared" si="42"/>
        <v>-1662.68504</v>
      </c>
      <c r="G151" s="63">
        <v>38.99192</v>
      </c>
      <c r="H151" s="63">
        <v>0</v>
      </c>
      <c r="I151" s="63"/>
      <c r="J151" s="63"/>
      <c r="K151" s="63">
        <v>0</v>
      </c>
      <c r="L151" s="63">
        <v>0</v>
      </c>
      <c r="M151" s="63">
        <v>0</v>
      </c>
      <c r="N151" s="63">
        <v>0</v>
      </c>
      <c r="O151" s="100">
        <v>0</v>
      </c>
    </row>
    <row r="152" spans="1:15" ht="30" customHeight="1">
      <c r="A152" s="1">
        <v>144</v>
      </c>
      <c r="B152" s="18" t="s">
        <v>20</v>
      </c>
      <c r="C152" s="54">
        <f>SUM(C153:C154)</f>
        <v>2930.79723</v>
      </c>
      <c r="D152" s="54">
        <f>SUM(D153:D154)</f>
        <v>9501.59744</v>
      </c>
      <c r="E152" s="54">
        <f>SUM(E153:E154)</f>
        <v>9767.436670000001</v>
      </c>
      <c r="F152" s="54">
        <f t="shared" si="42"/>
        <v>265.8392300000014</v>
      </c>
      <c r="G152" s="54">
        <f>SUM(G153:G154)</f>
        <v>15343.136670000002</v>
      </c>
      <c r="H152" s="54">
        <f>SUM(H153:H154)</f>
        <v>0</v>
      </c>
      <c r="I152" s="54" t="e">
        <f>#REF!-G152</f>
        <v>#REF!</v>
      </c>
      <c r="J152" s="54" t="e">
        <f>#REF!/G152</f>
        <v>#REF!</v>
      </c>
      <c r="K152" s="54">
        <f>SUM(K153:K154)</f>
        <v>6430.00505</v>
      </c>
      <c r="L152" s="54">
        <f>SUM(L153:L154)</f>
        <v>0</v>
      </c>
      <c r="M152" s="54">
        <f>SUM(M153:M154)</f>
        <v>5170.1</v>
      </c>
      <c r="N152" s="54">
        <f>SUM(N153:N154)</f>
        <v>0</v>
      </c>
      <c r="O152" s="99">
        <f>SUM(O153:O154)</f>
        <v>4331.4</v>
      </c>
    </row>
    <row r="153" spans="1:15" ht="30" customHeight="1">
      <c r="A153" s="1">
        <v>145</v>
      </c>
      <c r="B153" s="7" t="s">
        <v>46</v>
      </c>
      <c r="C153" s="63">
        <f>713.175+5168.8+262+60.5+120.9055-3394.58327</f>
        <v>2930.79723</v>
      </c>
      <c r="D153" s="63">
        <f>5000+749.584+1270.70944+366.2+1115.104+1000</f>
        <v>9501.59744</v>
      </c>
      <c r="E153" s="63">
        <f>6734.00674+456.204+527.146+947.2+32.52+1137.7-67.34007</f>
        <v>9767.436670000001</v>
      </c>
      <c r="F153" s="54">
        <f t="shared" si="42"/>
        <v>265.8392300000014</v>
      </c>
      <c r="G153" s="63">
        <f>6734.00674+456.204+5575.7+527.146+947.2+32.52+1137.7-67.34007</f>
        <v>15343.136670000002</v>
      </c>
      <c r="H153" s="63">
        <v>0</v>
      </c>
      <c r="I153" s="63"/>
      <c r="J153" s="63"/>
      <c r="K153" s="63">
        <v>6430.00505</v>
      </c>
      <c r="L153" s="63">
        <v>0</v>
      </c>
      <c r="M153" s="63">
        <v>5170.1</v>
      </c>
      <c r="N153" s="63">
        <v>0</v>
      </c>
      <c r="O153" s="100">
        <v>4331.4</v>
      </c>
    </row>
    <row r="154" spans="1:15" ht="30" customHeight="1" hidden="1">
      <c r="A154" s="1">
        <v>146</v>
      </c>
      <c r="B154" s="7" t="s">
        <v>47</v>
      </c>
      <c r="C154" s="63">
        <v>0</v>
      </c>
      <c r="D154" s="63">
        <v>0</v>
      </c>
      <c r="E154" s="63">
        <v>0</v>
      </c>
      <c r="F154" s="54">
        <f t="shared" si="42"/>
        <v>0</v>
      </c>
      <c r="G154" s="96">
        <v>0</v>
      </c>
      <c r="H154" s="96">
        <v>0</v>
      </c>
      <c r="I154" s="84" t="e">
        <f>#REF!-G154</f>
        <v>#REF!</v>
      </c>
      <c r="J154" s="84" t="e">
        <f>#REF!/G154</f>
        <v>#REF!</v>
      </c>
      <c r="K154" s="96">
        <v>0</v>
      </c>
      <c r="L154" s="96">
        <v>0</v>
      </c>
      <c r="M154" s="96">
        <v>0</v>
      </c>
      <c r="N154" s="96">
        <v>0</v>
      </c>
      <c r="O154" s="100">
        <v>0</v>
      </c>
    </row>
    <row r="155" spans="1:15" ht="93" customHeight="1" hidden="1">
      <c r="A155" s="1">
        <v>147</v>
      </c>
      <c r="B155" s="18" t="s">
        <v>128</v>
      </c>
      <c r="C155" s="54">
        <f>SUM(C156)</f>
        <v>0</v>
      </c>
      <c r="D155" s="54">
        <f>SUM(D156)</f>
        <v>0</v>
      </c>
      <c r="E155" s="54">
        <f>SUM(E156)</f>
        <v>0</v>
      </c>
      <c r="F155" s="54">
        <f t="shared" si="42"/>
        <v>0</v>
      </c>
      <c r="G155" s="84">
        <f>SUM(G156)</f>
        <v>0</v>
      </c>
      <c r="H155" s="84">
        <f>SUM(H156)</f>
        <v>0</v>
      </c>
      <c r="I155" s="84" t="e">
        <f>#REF!-G155</f>
        <v>#REF!</v>
      </c>
      <c r="J155" s="84">
        <v>0</v>
      </c>
      <c r="K155" s="84">
        <f>SUM(K156)</f>
        <v>0</v>
      </c>
      <c r="L155" s="84">
        <f>SUM(L156)</f>
        <v>0</v>
      </c>
      <c r="M155" s="84">
        <f>SUM(M156)</f>
        <v>0</v>
      </c>
      <c r="N155" s="84">
        <f>SUM(N156)</f>
        <v>0</v>
      </c>
      <c r="O155" s="99">
        <f>SUM(O156)</f>
        <v>0</v>
      </c>
    </row>
    <row r="156" spans="1:15" ht="24.75" customHeight="1" hidden="1">
      <c r="A156" s="1">
        <v>148</v>
      </c>
      <c r="B156" s="7" t="s">
        <v>46</v>
      </c>
      <c r="C156" s="63">
        <v>0</v>
      </c>
      <c r="D156" s="63">
        <v>0</v>
      </c>
      <c r="E156" s="63">
        <v>0</v>
      </c>
      <c r="F156" s="54">
        <f t="shared" si="42"/>
        <v>0</v>
      </c>
      <c r="G156" s="96">
        <v>0</v>
      </c>
      <c r="H156" s="96"/>
      <c r="I156" s="84" t="e">
        <f>#REF!-G156</f>
        <v>#REF!</v>
      </c>
      <c r="J156" s="84">
        <v>0</v>
      </c>
      <c r="K156" s="96"/>
      <c r="L156" s="96"/>
      <c r="M156" s="96"/>
      <c r="N156" s="96"/>
      <c r="O156" s="100"/>
    </row>
    <row r="157" spans="1:15" ht="39.75" customHeight="1">
      <c r="A157" s="1">
        <v>149</v>
      </c>
      <c r="B157" s="7" t="s">
        <v>50</v>
      </c>
      <c r="C157" s="54">
        <f>SUM(C158:C162)</f>
        <v>48655.506740000004</v>
      </c>
      <c r="D157" s="54">
        <f>SUM(D158:D162)</f>
        <v>45467.33769000001</v>
      </c>
      <c r="E157" s="54">
        <f>SUM(E158:E162)</f>
        <v>64060.95979999999</v>
      </c>
      <c r="F157" s="54">
        <f t="shared" si="42"/>
        <v>18593.622109999982</v>
      </c>
      <c r="G157" s="54">
        <f>SUM(G158:G162)</f>
        <v>66192.3082</v>
      </c>
      <c r="H157" s="54">
        <f>SUM(H158:H162)</f>
        <v>54814.1978</v>
      </c>
      <c r="I157" s="54" t="e">
        <f aca="true" t="shared" si="55" ref="I157:N157">SUM(I158:I162)</f>
        <v>#REF!</v>
      </c>
      <c r="J157" s="54">
        <f t="shared" si="55"/>
        <v>0</v>
      </c>
      <c r="K157" s="54">
        <f t="shared" si="55"/>
        <v>46077.8558</v>
      </c>
      <c r="L157" s="54">
        <f t="shared" si="55"/>
        <v>56973.2978</v>
      </c>
      <c r="M157" s="54">
        <f t="shared" si="55"/>
        <v>32300.612200000003</v>
      </c>
      <c r="N157" s="54">
        <f t="shared" si="55"/>
        <v>31744.632800000003</v>
      </c>
      <c r="O157" s="99">
        <f>SUM(O158:O162)</f>
        <v>31523.323200000003</v>
      </c>
    </row>
    <row r="158" spans="1:15" ht="45" customHeight="1">
      <c r="A158" s="1">
        <v>150</v>
      </c>
      <c r="B158" s="17" t="s">
        <v>96</v>
      </c>
      <c r="C158" s="63">
        <f aca="true" t="shared" si="56" ref="C158:E162">C164+C170</f>
        <v>8073.3062</v>
      </c>
      <c r="D158" s="63">
        <f t="shared" si="56"/>
        <v>8024.80824</v>
      </c>
      <c r="E158" s="63">
        <f t="shared" si="56"/>
        <v>8444.56662</v>
      </c>
      <c r="F158" s="54">
        <f t="shared" si="42"/>
        <v>419.7583799999993</v>
      </c>
      <c r="G158" s="63">
        <f aca="true" t="shared" si="57" ref="G158:N162">G164+G170</f>
        <v>8444.56662</v>
      </c>
      <c r="H158" s="63">
        <f>H164+H170</f>
        <v>8526.6792</v>
      </c>
      <c r="I158" s="63" t="e">
        <f aca="true" t="shared" si="58" ref="I158:N158">I164+I170</f>
        <v>#REF!</v>
      </c>
      <c r="J158" s="63">
        <f t="shared" si="58"/>
        <v>0</v>
      </c>
      <c r="K158" s="63">
        <f t="shared" si="58"/>
        <v>8526.6792</v>
      </c>
      <c r="L158" s="63">
        <f t="shared" si="58"/>
        <v>8526.6792</v>
      </c>
      <c r="M158" s="63">
        <f t="shared" si="58"/>
        <v>8526.6792</v>
      </c>
      <c r="N158" s="63">
        <f t="shared" si="58"/>
        <v>8526.6792</v>
      </c>
      <c r="O158" s="100">
        <f aca="true" t="shared" si="59" ref="M158:O162">O164+O170</f>
        <v>8526.6792</v>
      </c>
    </row>
    <row r="159" spans="1:15" ht="45" customHeight="1">
      <c r="A159" s="1">
        <v>151</v>
      </c>
      <c r="B159" s="17" t="s">
        <v>97</v>
      </c>
      <c r="C159" s="63">
        <f t="shared" si="56"/>
        <v>0</v>
      </c>
      <c r="D159" s="63">
        <f t="shared" si="56"/>
        <v>0</v>
      </c>
      <c r="E159" s="63">
        <f t="shared" si="56"/>
        <v>0</v>
      </c>
      <c r="F159" s="54">
        <f t="shared" si="42"/>
        <v>0</v>
      </c>
      <c r="G159" s="63">
        <f t="shared" si="57"/>
        <v>0</v>
      </c>
      <c r="H159" s="63">
        <f t="shared" si="57"/>
        <v>0</v>
      </c>
      <c r="I159" s="63" t="e">
        <f>#REF!-G159</f>
        <v>#REF!</v>
      </c>
      <c r="J159" s="63">
        <v>0</v>
      </c>
      <c r="K159" s="63">
        <f>K165+K171</f>
        <v>0</v>
      </c>
      <c r="L159" s="63">
        <f>L165+L171</f>
        <v>0</v>
      </c>
      <c r="M159" s="63">
        <f t="shared" si="59"/>
        <v>0</v>
      </c>
      <c r="N159" s="63">
        <f t="shared" si="59"/>
        <v>0</v>
      </c>
      <c r="O159" s="100">
        <f t="shared" si="59"/>
        <v>0</v>
      </c>
    </row>
    <row r="160" spans="1:15" ht="45" customHeight="1">
      <c r="A160" s="1">
        <v>152</v>
      </c>
      <c r="B160" s="17" t="s">
        <v>98</v>
      </c>
      <c r="C160" s="63">
        <f t="shared" si="56"/>
        <v>15198.34848</v>
      </c>
      <c r="D160" s="63">
        <f t="shared" si="56"/>
        <v>11534.00175</v>
      </c>
      <c r="E160" s="63">
        <f t="shared" si="56"/>
        <v>30871.891499999998</v>
      </c>
      <c r="F160" s="54">
        <f t="shared" si="42"/>
        <v>19337.88975</v>
      </c>
      <c r="G160" s="63">
        <f t="shared" si="57"/>
        <v>30871.891499999998</v>
      </c>
      <c r="H160" s="63">
        <f t="shared" si="57"/>
        <v>25453.665</v>
      </c>
      <c r="I160" s="63">
        <f t="shared" si="57"/>
        <v>0</v>
      </c>
      <c r="J160" s="63">
        <f t="shared" si="57"/>
        <v>0</v>
      </c>
      <c r="K160" s="63">
        <f t="shared" si="57"/>
        <v>14683.801599999999</v>
      </c>
      <c r="L160" s="63">
        <f t="shared" si="57"/>
        <v>25228.665</v>
      </c>
      <c r="M160" s="63">
        <f t="shared" si="57"/>
        <v>4675.233</v>
      </c>
      <c r="N160" s="63">
        <f t="shared" si="57"/>
        <v>0</v>
      </c>
      <c r="O160" s="100">
        <f t="shared" si="59"/>
        <v>4356.244</v>
      </c>
    </row>
    <row r="161" spans="1:15" ht="45" customHeight="1">
      <c r="A161" s="1">
        <v>153</v>
      </c>
      <c r="B161" s="17" t="s">
        <v>99</v>
      </c>
      <c r="C161" s="63">
        <f t="shared" si="56"/>
        <v>22950.95206</v>
      </c>
      <c r="D161" s="63">
        <f t="shared" si="56"/>
        <v>23483.1277</v>
      </c>
      <c r="E161" s="63">
        <f t="shared" si="56"/>
        <v>22469.40168</v>
      </c>
      <c r="F161" s="54">
        <f t="shared" si="42"/>
        <v>-1013.7260200000019</v>
      </c>
      <c r="G161" s="63">
        <f t="shared" si="57"/>
        <v>24600.75008</v>
      </c>
      <c r="H161" s="63">
        <f t="shared" si="57"/>
        <v>18900.353600000002</v>
      </c>
      <c r="I161" s="63" t="e">
        <f t="shared" si="57"/>
        <v>#REF!</v>
      </c>
      <c r="J161" s="63">
        <f t="shared" si="57"/>
        <v>0</v>
      </c>
      <c r="K161" s="63">
        <f t="shared" si="57"/>
        <v>20699.375</v>
      </c>
      <c r="L161" s="63">
        <f t="shared" si="57"/>
        <v>20965.1536</v>
      </c>
      <c r="M161" s="63">
        <f t="shared" si="57"/>
        <v>17364.3</v>
      </c>
      <c r="N161" s="63">
        <f t="shared" si="57"/>
        <v>20965.1536</v>
      </c>
      <c r="O161" s="100">
        <f t="shared" si="59"/>
        <v>17231.2</v>
      </c>
    </row>
    <row r="162" spans="1:15" ht="45" customHeight="1">
      <c r="A162" s="1">
        <v>154</v>
      </c>
      <c r="B162" s="17" t="s">
        <v>120</v>
      </c>
      <c r="C162" s="63">
        <f t="shared" si="56"/>
        <v>2432.9</v>
      </c>
      <c r="D162" s="63">
        <f t="shared" si="56"/>
        <v>2425.4</v>
      </c>
      <c r="E162" s="63">
        <f t="shared" si="56"/>
        <v>2275.1</v>
      </c>
      <c r="F162" s="54">
        <f t="shared" si="42"/>
        <v>-150.30000000000018</v>
      </c>
      <c r="G162" s="63">
        <f t="shared" si="57"/>
        <v>2275.1</v>
      </c>
      <c r="H162" s="63">
        <f t="shared" si="57"/>
        <v>1933.5</v>
      </c>
      <c r="I162" s="63" t="e">
        <f t="shared" si="57"/>
        <v>#REF!</v>
      </c>
      <c r="J162" s="63">
        <f t="shared" si="57"/>
        <v>0</v>
      </c>
      <c r="K162" s="63">
        <f t="shared" si="57"/>
        <v>2168</v>
      </c>
      <c r="L162" s="63">
        <f t="shared" si="57"/>
        <v>2252.8</v>
      </c>
      <c r="M162" s="63">
        <f t="shared" si="57"/>
        <v>1734.4</v>
      </c>
      <c r="N162" s="63">
        <f t="shared" si="57"/>
        <v>2252.8</v>
      </c>
      <c r="O162" s="100">
        <f t="shared" si="59"/>
        <v>1409.2</v>
      </c>
    </row>
    <row r="163" spans="1:15" ht="30" customHeight="1">
      <c r="A163" s="1">
        <v>155</v>
      </c>
      <c r="B163" s="18" t="s">
        <v>32</v>
      </c>
      <c r="C163" s="54">
        <f>SUM(C164:C168)</f>
        <v>10642.9725</v>
      </c>
      <c r="D163" s="54">
        <f>SUM(D164:D168)</f>
        <v>10260.55965</v>
      </c>
      <c r="E163" s="54">
        <f>SUM(E164:E168)</f>
        <v>13395.5583</v>
      </c>
      <c r="F163" s="54">
        <f t="shared" si="42"/>
        <v>3134.9986500000014</v>
      </c>
      <c r="G163" s="54">
        <f>SUM(G164:G168)</f>
        <v>12988.1067</v>
      </c>
      <c r="H163" s="54">
        <f>SUM(H164:H168)</f>
        <v>14030.482800000002</v>
      </c>
      <c r="I163" s="54" t="e">
        <f aca="true" t="shared" si="60" ref="I163:N163">SUM(I164:I168)</f>
        <v>#REF!</v>
      </c>
      <c r="J163" s="54">
        <f t="shared" si="60"/>
        <v>0</v>
      </c>
      <c r="K163" s="54">
        <f t="shared" si="60"/>
        <v>11449.8542</v>
      </c>
      <c r="L163" s="54">
        <f t="shared" si="60"/>
        <v>14030.482800000002</v>
      </c>
      <c r="M163" s="54">
        <f t="shared" si="60"/>
        <v>8526.6792</v>
      </c>
      <c r="N163" s="54">
        <f t="shared" si="60"/>
        <v>9512.632800000001</v>
      </c>
      <c r="O163" s="99">
        <f>SUM(O164:O168)</f>
        <v>8526.6792</v>
      </c>
    </row>
    <row r="164" spans="1:15" ht="30" customHeight="1">
      <c r="A164" s="1">
        <v>156</v>
      </c>
      <c r="B164" s="7" t="s">
        <v>22</v>
      </c>
      <c r="C164" s="63">
        <v>8073.3062</v>
      </c>
      <c r="D164" s="63">
        <v>8024.80824</v>
      </c>
      <c r="E164" s="63">
        <v>8444.56662</v>
      </c>
      <c r="F164" s="54">
        <f t="shared" si="42"/>
        <v>419.7583799999993</v>
      </c>
      <c r="G164" s="63">
        <v>8444.56662</v>
      </c>
      <c r="H164" s="63">
        <v>8526.6792</v>
      </c>
      <c r="I164" s="54"/>
      <c r="J164" s="54"/>
      <c r="K164" s="63">
        <v>8526.6792</v>
      </c>
      <c r="L164" s="63">
        <v>8526.6792</v>
      </c>
      <c r="M164" s="63">
        <v>8526.6792</v>
      </c>
      <c r="N164" s="63">
        <v>8526.6792</v>
      </c>
      <c r="O164" s="100">
        <v>8526.6792</v>
      </c>
    </row>
    <row r="165" spans="1:15" ht="30" customHeight="1" hidden="1">
      <c r="A165" s="1">
        <v>157</v>
      </c>
      <c r="B165" s="7" t="s">
        <v>23</v>
      </c>
      <c r="C165" s="63">
        <v>0</v>
      </c>
      <c r="D165" s="63"/>
      <c r="E165" s="63"/>
      <c r="F165" s="54">
        <f t="shared" si="42"/>
        <v>0</v>
      </c>
      <c r="G165" s="63"/>
      <c r="H165" s="63"/>
      <c r="I165" s="54"/>
      <c r="J165" s="54"/>
      <c r="K165" s="63"/>
      <c r="L165" s="63"/>
      <c r="M165" s="63"/>
      <c r="N165" s="63"/>
      <c r="O165" s="100"/>
    </row>
    <row r="166" spans="1:15" ht="30" customHeight="1">
      <c r="A166" s="1">
        <v>158</v>
      </c>
      <c r="B166" s="7" t="s">
        <v>24</v>
      </c>
      <c r="C166" s="63">
        <v>2569.6663</v>
      </c>
      <c r="D166" s="63">
        <v>2235.75141</v>
      </c>
      <c r="E166" s="63">
        <v>4517.85</v>
      </c>
      <c r="F166" s="54">
        <f t="shared" si="42"/>
        <v>2282.0985900000005</v>
      </c>
      <c r="G166" s="63">
        <v>4517.85</v>
      </c>
      <c r="H166" s="63">
        <v>4517.85</v>
      </c>
      <c r="I166" s="54"/>
      <c r="J166" s="54"/>
      <c r="K166" s="63">
        <v>2430.2</v>
      </c>
      <c r="L166" s="63">
        <v>4517.85</v>
      </c>
      <c r="M166" s="63">
        <v>0</v>
      </c>
      <c r="N166" s="63">
        <v>0</v>
      </c>
      <c r="O166" s="100">
        <v>0</v>
      </c>
    </row>
    <row r="167" spans="1:15" ht="30" customHeight="1">
      <c r="A167" s="1">
        <v>159</v>
      </c>
      <c r="B167" s="7" t="s">
        <v>25</v>
      </c>
      <c r="C167" s="63">
        <v>0</v>
      </c>
      <c r="D167" s="63">
        <v>0</v>
      </c>
      <c r="E167" s="63">
        <v>433.14168</v>
      </c>
      <c r="F167" s="54">
        <f t="shared" si="42"/>
        <v>433.14168</v>
      </c>
      <c r="G167" s="63">
        <v>25.69008</v>
      </c>
      <c r="H167" s="63">
        <v>985.9536</v>
      </c>
      <c r="I167" s="54" t="e">
        <f>#REF!-G167</f>
        <v>#REF!</v>
      </c>
      <c r="J167" s="54">
        <v>0</v>
      </c>
      <c r="K167" s="63">
        <v>492.975</v>
      </c>
      <c r="L167" s="63">
        <v>985.9536</v>
      </c>
      <c r="M167" s="63">
        <v>0</v>
      </c>
      <c r="N167" s="63">
        <v>985.9536</v>
      </c>
      <c r="O167" s="100">
        <v>0</v>
      </c>
    </row>
    <row r="168" spans="1:15" ht="30" customHeight="1">
      <c r="A168" s="1">
        <v>160</v>
      </c>
      <c r="B168" s="7" t="s">
        <v>119</v>
      </c>
      <c r="C168" s="63">
        <v>0</v>
      </c>
      <c r="D168" s="63">
        <v>0</v>
      </c>
      <c r="E168" s="63">
        <v>0</v>
      </c>
      <c r="F168" s="54">
        <f t="shared" si="42"/>
        <v>0</v>
      </c>
      <c r="G168" s="63">
        <v>0</v>
      </c>
      <c r="H168" s="63">
        <v>0</v>
      </c>
      <c r="I168" s="54" t="e">
        <f>#REF!-G168</f>
        <v>#REF!</v>
      </c>
      <c r="J168" s="54">
        <v>0</v>
      </c>
      <c r="K168" s="63">
        <v>0</v>
      </c>
      <c r="L168" s="63">
        <v>0</v>
      </c>
      <c r="M168" s="63">
        <v>0</v>
      </c>
      <c r="N168" s="63">
        <v>0</v>
      </c>
      <c r="O168" s="100">
        <v>0</v>
      </c>
    </row>
    <row r="169" spans="1:15" ht="30" customHeight="1">
      <c r="A169" s="1">
        <v>161</v>
      </c>
      <c r="B169" s="18" t="s">
        <v>26</v>
      </c>
      <c r="C169" s="54">
        <f>SUM(C170:C174)</f>
        <v>38012.53424</v>
      </c>
      <c r="D169" s="54">
        <f>SUM(D170:D174)</f>
        <v>35206.778040000005</v>
      </c>
      <c r="E169" s="54">
        <f>SUM(E170:E174)</f>
        <v>50665.4015</v>
      </c>
      <c r="F169" s="54">
        <f t="shared" si="42"/>
        <v>15458.623459999995</v>
      </c>
      <c r="G169" s="54">
        <f>SUM(G170:G174)</f>
        <v>53204.2015</v>
      </c>
      <c r="H169" s="54">
        <f>SUM(H170:H174)</f>
        <v>40783.715</v>
      </c>
      <c r="I169" s="54" t="e">
        <f aca="true" t="shared" si="61" ref="I169:N169">SUM(I170:I174)</f>
        <v>#REF!</v>
      </c>
      <c r="J169" s="54">
        <f t="shared" si="61"/>
        <v>0</v>
      </c>
      <c r="K169" s="54">
        <f t="shared" si="61"/>
        <v>34628.0016</v>
      </c>
      <c r="L169" s="54">
        <f t="shared" si="61"/>
        <v>42942.815</v>
      </c>
      <c r="M169" s="54">
        <f t="shared" si="61"/>
        <v>23773.933</v>
      </c>
      <c r="N169" s="54">
        <f t="shared" si="61"/>
        <v>22232</v>
      </c>
      <c r="O169" s="99">
        <f>SUM(O170:O174)</f>
        <v>22996.644</v>
      </c>
    </row>
    <row r="170" spans="1:15" ht="30" customHeight="1" hidden="1">
      <c r="A170" s="1">
        <v>162</v>
      </c>
      <c r="B170" s="7" t="s">
        <v>22</v>
      </c>
      <c r="C170" s="63">
        <v>0</v>
      </c>
      <c r="D170" s="63">
        <v>0</v>
      </c>
      <c r="E170" s="63">
        <v>0</v>
      </c>
      <c r="F170" s="54">
        <f t="shared" si="42"/>
        <v>0</v>
      </c>
      <c r="G170" s="63">
        <v>0</v>
      </c>
      <c r="H170" s="63">
        <v>0</v>
      </c>
      <c r="I170" s="54" t="e">
        <f>#REF!-G170</f>
        <v>#REF!</v>
      </c>
      <c r="J170" s="54">
        <v>0</v>
      </c>
      <c r="K170" s="63">
        <v>0</v>
      </c>
      <c r="L170" s="63">
        <v>0</v>
      </c>
      <c r="M170" s="63">
        <v>0</v>
      </c>
      <c r="N170" s="63">
        <v>0</v>
      </c>
      <c r="O170" s="100">
        <v>0</v>
      </c>
    </row>
    <row r="171" spans="1:15" ht="30" customHeight="1" hidden="1">
      <c r="A171" s="1">
        <v>163</v>
      </c>
      <c r="B171" s="7" t="s">
        <v>23</v>
      </c>
      <c r="C171" s="63">
        <v>0</v>
      </c>
      <c r="D171" s="63">
        <v>0</v>
      </c>
      <c r="E171" s="63">
        <v>0</v>
      </c>
      <c r="F171" s="54">
        <f t="shared" si="42"/>
        <v>0</v>
      </c>
      <c r="G171" s="63">
        <v>0</v>
      </c>
      <c r="H171" s="63">
        <v>0</v>
      </c>
      <c r="I171" s="54" t="e">
        <f>#REF!-G171</f>
        <v>#REF!</v>
      </c>
      <c r="J171" s="54">
        <v>0</v>
      </c>
      <c r="K171" s="63">
        <v>0</v>
      </c>
      <c r="L171" s="63">
        <v>0</v>
      </c>
      <c r="M171" s="63">
        <v>0</v>
      </c>
      <c r="N171" s="63">
        <v>0</v>
      </c>
      <c r="O171" s="100">
        <v>0</v>
      </c>
    </row>
    <row r="172" spans="1:15" ht="30" customHeight="1">
      <c r="A172" s="1">
        <v>164</v>
      </c>
      <c r="B172" s="7" t="s">
        <v>24</v>
      </c>
      <c r="C172" s="63">
        <f>2228.0832+10400.59898</f>
        <v>12628.68218</v>
      </c>
      <c r="D172" s="63">
        <f>355.75717+8942.49317</f>
        <v>9298.25034</v>
      </c>
      <c r="E172" s="63">
        <f>8282.6415+18071.4</f>
        <v>26354.0415</v>
      </c>
      <c r="F172" s="54">
        <f t="shared" si="42"/>
        <v>17055.79116</v>
      </c>
      <c r="G172" s="63">
        <f>8282.6415+18071.4</f>
        <v>26354.0415</v>
      </c>
      <c r="H172" s="63">
        <v>20935.815</v>
      </c>
      <c r="I172" s="54"/>
      <c r="J172" s="54"/>
      <c r="K172" s="63">
        <v>12253.6016</v>
      </c>
      <c r="L172" s="63">
        <v>20710.815</v>
      </c>
      <c r="M172" s="63">
        <v>4675.233</v>
      </c>
      <c r="N172" s="63">
        <v>0</v>
      </c>
      <c r="O172" s="100">
        <v>4356.244</v>
      </c>
    </row>
    <row r="173" spans="1:15" ht="30" customHeight="1">
      <c r="A173" s="1">
        <v>165</v>
      </c>
      <c r="B173" s="7" t="s">
        <v>25</v>
      </c>
      <c r="C173" s="63">
        <v>22950.95206</v>
      </c>
      <c r="D173" s="63">
        <v>23483.1277</v>
      </c>
      <c r="E173" s="63">
        <f>13764.8+3851.6+940.46+3479.4</f>
        <v>22036.26</v>
      </c>
      <c r="F173" s="54">
        <f t="shared" si="42"/>
        <v>-1446.8677000000025</v>
      </c>
      <c r="G173" s="63">
        <f>16303.6+3851.6+940.46+3479.4</f>
        <v>24575.06</v>
      </c>
      <c r="H173" s="63">
        <v>17914.4</v>
      </c>
      <c r="I173" s="54"/>
      <c r="J173" s="54"/>
      <c r="K173" s="63">
        <v>20206.4</v>
      </c>
      <c r="L173" s="63">
        <v>19979.2</v>
      </c>
      <c r="M173" s="63">
        <v>17364.3</v>
      </c>
      <c r="N173" s="63">
        <v>19979.2</v>
      </c>
      <c r="O173" s="100">
        <v>17231.2</v>
      </c>
    </row>
    <row r="174" spans="1:15" ht="30" customHeight="1">
      <c r="A174" s="1">
        <v>166</v>
      </c>
      <c r="B174" s="7" t="s">
        <v>119</v>
      </c>
      <c r="C174" s="63">
        <v>2432.9</v>
      </c>
      <c r="D174" s="63">
        <v>2425.4</v>
      </c>
      <c r="E174" s="63">
        <v>2275.1</v>
      </c>
      <c r="F174" s="54">
        <f t="shared" si="42"/>
        <v>-150.30000000000018</v>
      </c>
      <c r="G174" s="63">
        <f>2128.6+146.5</f>
        <v>2275.1</v>
      </c>
      <c r="H174" s="63">
        <v>1933.5</v>
      </c>
      <c r="I174" s="54"/>
      <c r="J174" s="54"/>
      <c r="K174" s="63">
        <v>2168</v>
      </c>
      <c r="L174" s="63">
        <v>2252.8</v>
      </c>
      <c r="M174" s="63">
        <v>1734.4</v>
      </c>
      <c r="N174" s="63">
        <v>2252.8</v>
      </c>
      <c r="O174" s="100">
        <v>1409.2</v>
      </c>
    </row>
    <row r="175" spans="1:15" ht="39.75" customHeight="1">
      <c r="A175" s="1">
        <v>167</v>
      </c>
      <c r="B175" s="7" t="s">
        <v>51</v>
      </c>
      <c r="C175" s="54">
        <f>C176+C177+C178</f>
        <v>66885.32935</v>
      </c>
      <c r="D175" s="54">
        <f>D176+D177+D178</f>
        <v>33330.209220000004</v>
      </c>
      <c r="E175" s="54">
        <f>E176+E177+E178</f>
        <v>24767.828</v>
      </c>
      <c r="F175" s="54">
        <f aca="true" t="shared" si="62" ref="F175:F200">E175-D175</f>
        <v>-8562.381220000003</v>
      </c>
      <c r="G175" s="54">
        <f>G176+G177+G178</f>
        <v>24767.828</v>
      </c>
      <c r="H175" s="54">
        <f>H176+H177</f>
        <v>71706.35022</v>
      </c>
      <c r="I175" s="54" t="e">
        <f aca="true" t="shared" si="63" ref="I175:N175">I176+I177</f>
        <v>#REF!</v>
      </c>
      <c r="J175" s="54" t="e">
        <f t="shared" si="63"/>
        <v>#REF!</v>
      </c>
      <c r="K175" s="54">
        <f t="shared" si="63"/>
        <v>42272.27707</v>
      </c>
      <c r="L175" s="54">
        <f t="shared" si="63"/>
        <v>54169.92254</v>
      </c>
      <c r="M175" s="54">
        <f t="shared" si="63"/>
        <v>45055.12698</v>
      </c>
      <c r="N175" s="54">
        <f t="shared" si="63"/>
        <v>54535.49996</v>
      </c>
      <c r="O175" s="99">
        <f>O176+O177</f>
        <v>45333.22661</v>
      </c>
    </row>
    <row r="176" spans="1:15" ht="45" customHeight="1">
      <c r="A176" s="1">
        <v>168</v>
      </c>
      <c r="B176" s="17" t="s">
        <v>121</v>
      </c>
      <c r="C176" s="63">
        <f aca="true" t="shared" si="64" ref="C176:E177">C180+C184</f>
        <v>65001.732930000006</v>
      </c>
      <c r="D176" s="63">
        <f t="shared" si="64"/>
        <v>31090.24289</v>
      </c>
      <c r="E176" s="63">
        <f t="shared" si="64"/>
        <v>24767.828</v>
      </c>
      <c r="F176" s="54">
        <f t="shared" si="62"/>
        <v>-6322.41489</v>
      </c>
      <c r="G176" s="63">
        <f>G180+G184</f>
        <v>24767.828</v>
      </c>
      <c r="H176" s="63">
        <f>H180+H184</f>
        <v>70869.09022</v>
      </c>
      <c r="I176" s="54" t="e">
        <f>#REF!-G176</f>
        <v>#REF!</v>
      </c>
      <c r="J176" s="54" t="e">
        <f>#REF!/G176</f>
        <v>#REF!</v>
      </c>
      <c r="K176" s="63">
        <f>K180+K184</f>
        <v>42272.27707</v>
      </c>
      <c r="L176" s="63">
        <f aca="true" t="shared" si="65" ref="L176:N177">L180+L184</f>
        <v>53332.66254</v>
      </c>
      <c r="M176" s="63">
        <f>M180+M184</f>
        <v>45055.12698</v>
      </c>
      <c r="N176" s="63">
        <f t="shared" si="65"/>
        <v>53698.23996</v>
      </c>
      <c r="O176" s="100">
        <f>O180+O184</f>
        <v>45333.22661</v>
      </c>
    </row>
    <row r="177" spans="1:15" ht="45" customHeight="1">
      <c r="A177" s="1">
        <v>169</v>
      </c>
      <c r="B177" s="17" t="s">
        <v>100</v>
      </c>
      <c r="C177" s="63">
        <f t="shared" si="64"/>
        <v>1883.59642</v>
      </c>
      <c r="D177" s="63">
        <f t="shared" si="64"/>
        <v>2239.96633</v>
      </c>
      <c r="E177" s="63">
        <f t="shared" si="64"/>
        <v>0</v>
      </c>
      <c r="F177" s="54">
        <f t="shared" si="62"/>
        <v>-2239.96633</v>
      </c>
      <c r="G177" s="63">
        <f>G181+G185</f>
        <v>0</v>
      </c>
      <c r="H177" s="63">
        <f>H181+H185</f>
        <v>837.26</v>
      </c>
      <c r="I177" s="54" t="e">
        <f>#REF!-G177</f>
        <v>#REF!</v>
      </c>
      <c r="J177" s="54" t="e">
        <f>#REF!/G177</f>
        <v>#REF!</v>
      </c>
      <c r="K177" s="63">
        <f>K181+K185</f>
        <v>0</v>
      </c>
      <c r="L177" s="63">
        <f t="shared" si="65"/>
        <v>837.26</v>
      </c>
      <c r="M177" s="63">
        <f>M181+M185</f>
        <v>0</v>
      </c>
      <c r="N177" s="63">
        <f t="shared" si="65"/>
        <v>837.26</v>
      </c>
      <c r="O177" s="100">
        <f>O181+O185</f>
        <v>0</v>
      </c>
    </row>
    <row r="178" spans="1:15" ht="45" customHeight="1">
      <c r="A178" s="1">
        <v>170</v>
      </c>
      <c r="B178" s="17" t="s">
        <v>124</v>
      </c>
      <c r="C178" s="63">
        <f>C182</f>
        <v>0</v>
      </c>
      <c r="D178" s="63">
        <f>D182</f>
        <v>0</v>
      </c>
      <c r="E178" s="63">
        <f>E182</f>
        <v>0</v>
      </c>
      <c r="F178" s="54">
        <f t="shared" si="62"/>
        <v>0</v>
      </c>
      <c r="G178" s="63">
        <f>G182</f>
        <v>0</v>
      </c>
      <c r="H178" s="63">
        <f>H182</f>
        <v>0</v>
      </c>
      <c r="I178" s="54" t="e">
        <f>#REF!-G178</f>
        <v>#REF!</v>
      </c>
      <c r="J178" s="54">
        <v>0</v>
      </c>
      <c r="K178" s="63">
        <f>K182</f>
        <v>0</v>
      </c>
      <c r="L178" s="63">
        <f>L182</f>
        <v>0</v>
      </c>
      <c r="M178" s="63">
        <f>M182</f>
        <v>0</v>
      </c>
      <c r="N178" s="63">
        <f>N182</f>
        <v>0</v>
      </c>
      <c r="O178" s="100">
        <f>O182</f>
        <v>0</v>
      </c>
    </row>
    <row r="179" spans="1:15" ht="30" customHeight="1">
      <c r="A179" s="1">
        <v>171</v>
      </c>
      <c r="B179" s="18" t="s">
        <v>32</v>
      </c>
      <c r="C179" s="54">
        <f>SUM(C180:C182)</f>
        <v>12500.91995</v>
      </c>
      <c r="D179" s="54">
        <f>SUM(D180:D182)</f>
        <v>14900.09289</v>
      </c>
      <c r="E179" s="54">
        <f>SUM(E180:E182)</f>
        <v>14042.628</v>
      </c>
      <c r="F179" s="54">
        <f t="shared" si="62"/>
        <v>-857.4648899999993</v>
      </c>
      <c r="G179" s="54">
        <f>SUM(G180:G182)</f>
        <v>12342.628</v>
      </c>
      <c r="H179" s="54">
        <f>SUM(H180:H182)</f>
        <v>71442.55021999999</v>
      </c>
      <c r="I179" s="54" t="e">
        <f aca="true" t="shared" si="66" ref="I179:N179">SUM(I180:I182)</f>
        <v>#REF!</v>
      </c>
      <c r="J179" s="54">
        <f t="shared" si="66"/>
        <v>0</v>
      </c>
      <c r="K179" s="54">
        <f t="shared" si="66"/>
        <v>41904.77707</v>
      </c>
      <c r="L179" s="54">
        <f t="shared" si="66"/>
        <v>54169.92254</v>
      </c>
      <c r="M179" s="54">
        <f t="shared" si="66"/>
        <v>45055.12698</v>
      </c>
      <c r="N179" s="54">
        <f t="shared" si="66"/>
        <v>54535.49996</v>
      </c>
      <c r="O179" s="99">
        <f>SUM(O180:O182)</f>
        <v>45333.22661</v>
      </c>
    </row>
    <row r="180" spans="1:15" ht="30" customHeight="1">
      <c r="A180" s="1">
        <v>172</v>
      </c>
      <c r="B180" s="7" t="s">
        <v>122</v>
      </c>
      <c r="C180" s="63">
        <f>10519.47183+1928.06812</f>
        <v>12447.53995</v>
      </c>
      <c r="D180" s="63">
        <f>9580.94289+20+5200</f>
        <v>14800.94289</v>
      </c>
      <c r="E180" s="63">
        <f>12332.628+10+1700</f>
        <v>14042.628</v>
      </c>
      <c r="F180" s="54">
        <f t="shared" si="62"/>
        <v>-758.3148899999997</v>
      </c>
      <c r="G180" s="63">
        <f>12332.628+10</f>
        <v>12342.628</v>
      </c>
      <c r="H180" s="63">
        <f>70595.29022+10</f>
        <v>70605.29022</v>
      </c>
      <c r="I180" s="63"/>
      <c r="J180" s="63"/>
      <c r="K180" s="63">
        <v>41904.77707</v>
      </c>
      <c r="L180" s="63">
        <v>53332.66254</v>
      </c>
      <c r="M180" s="63">
        <v>45055.12698</v>
      </c>
      <c r="N180" s="63">
        <v>53698.23996</v>
      </c>
      <c r="O180" s="100">
        <v>45333.22661</v>
      </c>
    </row>
    <row r="181" spans="1:15" s="33" customFormat="1" ht="30" customHeight="1">
      <c r="A181" s="1">
        <v>173</v>
      </c>
      <c r="B181" s="22">
        <v>1102</v>
      </c>
      <c r="C181" s="63">
        <v>53.38</v>
      </c>
      <c r="D181" s="63">
        <v>99.15</v>
      </c>
      <c r="E181" s="63">
        <v>0</v>
      </c>
      <c r="F181" s="54">
        <f t="shared" si="62"/>
        <v>-99.15</v>
      </c>
      <c r="G181" s="63">
        <v>0</v>
      </c>
      <c r="H181" s="63">
        <v>837.26</v>
      </c>
      <c r="I181" s="63"/>
      <c r="J181" s="63"/>
      <c r="K181" s="63">
        <v>0</v>
      </c>
      <c r="L181" s="63">
        <v>837.26</v>
      </c>
      <c r="M181" s="63">
        <v>0</v>
      </c>
      <c r="N181" s="63">
        <v>837.26</v>
      </c>
      <c r="O181" s="100">
        <v>0</v>
      </c>
    </row>
    <row r="182" spans="1:15" s="33" customFormat="1" ht="30" customHeight="1" hidden="1">
      <c r="A182" s="1">
        <v>174</v>
      </c>
      <c r="B182" s="22">
        <v>1105</v>
      </c>
      <c r="C182" s="63">
        <v>0</v>
      </c>
      <c r="D182" s="63">
        <v>0</v>
      </c>
      <c r="E182" s="63">
        <v>0</v>
      </c>
      <c r="F182" s="54">
        <f t="shared" si="62"/>
        <v>0</v>
      </c>
      <c r="G182" s="63"/>
      <c r="H182" s="96"/>
      <c r="I182" s="84" t="e">
        <f>#REF!-G182</f>
        <v>#REF!</v>
      </c>
      <c r="J182" s="84">
        <v>0</v>
      </c>
      <c r="K182" s="96"/>
      <c r="L182" s="96"/>
      <c r="M182" s="96"/>
      <c r="N182" s="96"/>
      <c r="O182" s="100"/>
    </row>
    <row r="183" spans="1:15" ht="30" customHeight="1">
      <c r="A183" s="1">
        <v>175</v>
      </c>
      <c r="B183" s="18" t="s">
        <v>26</v>
      </c>
      <c r="C183" s="54">
        <f>SUM(C184:C185)</f>
        <v>54384.409400000004</v>
      </c>
      <c r="D183" s="54">
        <f>SUM(D184:D185)</f>
        <v>18430.11633</v>
      </c>
      <c r="E183" s="54">
        <f>SUM(E184:E185)</f>
        <v>10725.2</v>
      </c>
      <c r="F183" s="54">
        <f t="shared" si="62"/>
        <v>-7704.91633</v>
      </c>
      <c r="G183" s="54">
        <f>SUM(G184:G185)</f>
        <v>12425.2</v>
      </c>
      <c r="H183" s="54">
        <f>SUM(H184:H185)</f>
        <v>263.8</v>
      </c>
      <c r="I183" s="54">
        <f aca="true" t="shared" si="67" ref="I183:N183">SUM(I184:I185)</f>
        <v>0</v>
      </c>
      <c r="J183" s="54">
        <f t="shared" si="67"/>
        <v>0</v>
      </c>
      <c r="K183" s="54">
        <f t="shared" si="67"/>
        <v>367.5</v>
      </c>
      <c r="L183" s="54">
        <f t="shared" si="67"/>
        <v>0</v>
      </c>
      <c r="M183" s="54">
        <f t="shared" si="67"/>
        <v>0</v>
      </c>
      <c r="N183" s="54">
        <f t="shared" si="67"/>
        <v>0</v>
      </c>
      <c r="O183" s="99">
        <f>SUM(O184:O185)</f>
        <v>0</v>
      </c>
    </row>
    <row r="184" spans="1:15" s="33" customFormat="1" ht="30" customHeight="1">
      <c r="A184" s="1">
        <v>176</v>
      </c>
      <c r="B184" s="22">
        <v>1101</v>
      </c>
      <c r="C184" s="63">
        <f>158.404+40009.93883+5000+9313.91827-1928.06812</f>
        <v>52554.19298000001</v>
      </c>
      <c r="D184" s="63">
        <f>167.2+7139.5-20+9002.6</f>
        <v>16289.3</v>
      </c>
      <c r="E184" s="63">
        <f>262.2+10473-10</f>
        <v>10725.2</v>
      </c>
      <c r="F184" s="54">
        <f t="shared" si="62"/>
        <v>-5564.0999999999985</v>
      </c>
      <c r="G184" s="63">
        <f>252.2+1700+10473</f>
        <v>12425.2</v>
      </c>
      <c r="H184" s="63">
        <v>263.8</v>
      </c>
      <c r="I184" s="63"/>
      <c r="J184" s="63"/>
      <c r="K184" s="63">
        <v>367.5</v>
      </c>
      <c r="L184" s="63">
        <v>0</v>
      </c>
      <c r="M184" s="63">
        <v>0</v>
      </c>
      <c r="N184" s="63">
        <v>0</v>
      </c>
      <c r="O184" s="100">
        <v>0</v>
      </c>
    </row>
    <row r="185" spans="1:15" ht="30" customHeight="1">
      <c r="A185" s="1">
        <v>177</v>
      </c>
      <c r="B185" s="7" t="s">
        <v>52</v>
      </c>
      <c r="C185" s="63">
        <v>1830.21642</v>
      </c>
      <c r="D185" s="63">
        <v>2140.81633</v>
      </c>
      <c r="E185" s="63">
        <v>0</v>
      </c>
      <c r="F185" s="54">
        <f t="shared" si="62"/>
        <v>-2140.81633</v>
      </c>
      <c r="G185" s="63">
        <v>0</v>
      </c>
      <c r="H185" s="63">
        <v>0</v>
      </c>
      <c r="I185" s="54"/>
      <c r="J185" s="54"/>
      <c r="K185" s="63">
        <v>0</v>
      </c>
      <c r="L185" s="63">
        <v>0</v>
      </c>
      <c r="M185" s="63">
        <v>0</v>
      </c>
      <c r="N185" s="63">
        <v>0</v>
      </c>
      <c r="O185" s="100">
        <v>0</v>
      </c>
    </row>
    <row r="186" spans="1:15" ht="46.5" customHeight="1">
      <c r="A186" s="1">
        <v>178</v>
      </c>
      <c r="B186" s="7" t="s">
        <v>53</v>
      </c>
      <c r="C186" s="54">
        <f aca="true" t="shared" si="68" ref="C186:E188">C187</f>
        <v>8698.32822</v>
      </c>
      <c r="D186" s="54">
        <f t="shared" si="68"/>
        <v>4951.32679</v>
      </c>
      <c r="E186" s="54">
        <f t="shared" si="68"/>
        <v>1566.94164</v>
      </c>
      <c r="F186" s="54">
        <f t="shared" si="62"/>
        <v>-3384.38515</v>
      </c>
      <c r="G186" s="54">
        <f aca="true" t="shared" si="69" ref="G186:N188">G187</f>
        <v>1566.94164</v>
      </c>
      <c r="H186" s="54">
        <f t="shared" si="69"/>
        <v>3148.52737</v>
      </c>
      <c r="I186" s="54" t="e">
        <f t="shared" si="69"/>
        <v>#REF!</v>
      </c>
      <c r="J186" s="54" t="e">
        <f t="shared" si="69"/>
        <v>#REF!</v>
      </c>
      <c r="K186" s="54">
        <f t="shared" si="69"/>
        <v>4691.24125</v>
      </c>
      <c r="L186" s="54">
        <f t="shared" si="69"/>
        <v>100.75121</v>
      </c>
      <c r="M186" s="54">
        <f t="shared" si="69"/>
        <v>3460.75118</v>
      </c>
      <c r="N186" s="54">
        <f t="shared" si="69"/>
        <v>51.34186</v>
      </c>
      <c r="O186" s="99">
        <f aca="true" t="shared" si="70" ref="N186:O188">O187</f>
        <v>3411.34183</v>
      </c>
    </row>
    <row r="187" spans="1:15" ht="70.5" customHeight="1">
      <c r="A187" s="1">
        <v>179</v>
      </c>
      <c r="B187" s="17" t="s">
        <v>101</v>
      </c>
      <c r="C187" s="63">
        <f t="shared" si="68"/>
        <v>8698.32822</v>
      </c>
      <c r="D187" s="63">
        <f t="shared" si="68"/>
        <v>4951.32679</v>
      </c>
      <c r="E187" s="63">
        <f t="shared" si="68"/>
        <v>1566.94164</v>
      </c>
      <c r="F187" s="54">
        <f t="shared" si="62"/>
        <v>-3384.38515</v>
      </c>
      <c r="G187" s="63">
        <f t="shared" si="69"/>
        <v>1566.94164</v>
      </c>
      <c r="H187" s="63">
        <f t="shared" si="69"/>
        <v>3148.52737</v>
      </c>
      <c r="I187" s="54" t="e">
        <f>#REF!-G187</f>
        <v>#REF!</v>
      </c>
      <c r="J187" s="54" t="e">
        <f>#REF!/G187</f>
        <v>#REF!</v>
      </c>
      <c r="K187" s="63">
        <f aca="true" t="shared" si="71" ref="K187:M188">K188</f>
        <v>4691.24125</v>
      </c>
      <c r="L187" s="63">
        <f t="shared" si="71"/>
        <v>100.75121</v>
      </c>
      <c r="M187" s="63">
        <f t="shared" si="71"/>
        <v>3460.75118</v>
      </c>
      <c r="N187" s="63">
        <f t="shared" si="70"/>
        <v>51.34186</v>
      </c>
      <c r="O187" s="100">
        <f t="shared" si="70"/>
        <v>3411.34183</v>
      </c>
    </row>
    <row r="188" spans="1:15" s="33" customFormat="1" ht="60.75" customHeight="1">
      <c r="A188" s="1">
        <v>180</v>
      </c>
      <c r="B188" s="18" t="s">
        <v>127</v>
      </c>
      <c r="C188" s="63">
        <f t="shared" si="68"/>
        <v>8698.32822</v>
      </c>
      <c r="D188" s="63">
        <f t="shared" si="68"/>
        <v>4951.32679</v>
      </c>
      <c r="E188" s="54">
        <f t="shared" si="68"/>
        <v>1566.94164</v>
      </c>
      <c r="F188" s="54">
        <f t="shared" si="62"/>
        <v>-3384.38515</v>
      </c>
      <c r="G188" s="63">
        <f t="shared" si="69"/>
        <v>1566.94164</v>
      </c>
      <c r="H188" s="63">
        <f t="shared" si="69"/>
        <v>3148.52737</v>
      </c>
      <c r="I188" s="54" t="e">
        <f>#REF!-G188</f>
        <v>#REF!</v>
      </c>
      <c r="J188" s="54" t="e">
        <f>#REF!/G188</f>
        <v>#REF!</v>
      </c>
      <c r="K188" s="63">
        <f t="shared" si="71"/>
        <v>4691.24125</v>
      </c>
      <c r="L188" s="63">
        <f t="shared" si="71"/>
        <v>100.75121</v>
      </c>
      <c r="M188" s="63">
        <f t="shared" si="71"/>
        <v>3460.75118</v>
      </c>
      <c r="N188" s="63">
        <f t="shared" si="70"/>
        <v>51.34186</v>
      </c>
      <c r="O188" s="100">
        <f t="shared" si="70"/>
        <v>3411.34183</v>
      </c>
    </row>
    <row r="189" spans="1:15" ht="40.5" customHeight="1">
      <c r="A189" s="1">
        <v>181</v>
      </c>
      <c r="B189" s="7" t="s">
        <v>54</v>
      </c>
      <c r="C189" s="63">
        <v>8698.32822</v>
      </c>
      <c r="D189" s="63">
        <v>4951.32679</v>
      </c>
      <c r="E189" s="63">
        <v>1566.94164</v>
      </c>
      <c r="F189" s="54">
        <f t="shared" si="62"/>
        <v>-3384.38515</v>
      </c>
      <c r="G189" s="63">
        <v>1566.94164</v>
      </c>
      <c r="H189" s="63">
        <v>3148.52737</v>
      </c>
      <c r="I189" s="54"/>
      <c r="J189" s="54"/>
      <c r="K189" s="63">
        <v>4691.24125</v>
      </c>
      <c r="L189" s="63">
        <v>100.75121</v>
      </c>
      <c r="M189" s="63">
        <v>3460.75118</v>
      </c>
      <c r="N189" s="63">
        <v>51.34186</v>
      </c>
      <c r="O189" s="100">
        <v>3411.34183</v>
      </c>
    </row>
    <row r="190" spans="1:15" ht="75" customHeight="1">
      <c r="A190" s="1">
        <v>182</v>
      </c>
      <c r="B190" s="7" t="s">
        <v>55</v>
      </c>
      <c r="C190" s="54">
        <f>C191+C193</f>
        <v>48398.79292</v>
      </c>
      <c r="D190" s="54">
        <f>D191+D193+D192</f>
        <v>38893.28555</v>
      </c>
      <c r="E190" s="54">
        <f>E191+E193</f>
        <v>31317.2411</v>
      </c>
      <c r="F190" s="54">
        <f t="shared" si="62"/>
        <v>-7576.044450000001</v>
      </c>
      <c r="G190" s="54">
        <f>G191+G193</f>
        <v>33958.8471</v>
      </c>
      <c r="H190" s="54">
        <f>H191+H193</f>
        <v>2150</v>
      </c>
      <c r="I190" s="54" t="e">
        <f aca="true" t="shared" si="72" ref="I190:N190">I191+I193</f>
        <v>#REF!</v>
      </c>
      <c r="J190" s="54">
        <f t="shared" si="72"/>
        <v>0</v>
      </c>
      <c r="K190" s="54">
        <f t="shared" si="72"/>
        <v>18026</v>
      </c>
      <c r="L190" s="54">
        <f t="shared" si="72"/>
        <v>2150</v>
      </c>
      <c r="M190" s="54">
        <f t="shared" si="72"/>
        <v>13210</v>
      </c>
      <c r="N190" s="54">
        <f t="shared" si="72"/>
        <v>2150</v>
      </c>
      <c r="O190" s="99">
        <f>O191+O193</f>
        <v>13210</v>
      </c>
    </row>
    <row r="191" spans="1:15" ht="92.25" customHeight="1">
      <c r="A191" s="1">
        <v>183</v>
      </c>
      <c r="B191" s="17" t="s">
        <v>102</v>
      </c>
      <c r="C191" s="63">
        <f>SUM(C195+C199)</f>
        <v>16726</v>
      </c>
      <c r="D191" s="63">
        <f>SUM(D195+D199)</f>
        <v>12729</v>
      </c>
      <c r="E191" s="63">
        <f>E195+E199</f>
        <v>13150</v>
      </c>
      <c r="F191" s="54">
        <f t="shared" si="62"/>
        <v>421</v>
      </c>
      <c r="G191" s="63">
        <f>SUM(G195+G199)</f>
        <v>13150</v>
      </c>
      <c r="H191" s="63">
        <f>SUM(H195+H199)</f>
        <v>2150</v>
      </c>
      <c r="I191" s="63">
        <f aca="true" t="shared" si="73" ref="I191:N191">SUM(I195+I199)</f>
        <v>0</v>
      </c>
      <c r="J191" s="63">
        <f t="shared" si="73"/>
        <v>0</v>
      </c>
      <c r="K191" s="63">
        <f t="shared" si="73"/>
        <v>13210</v>
      </c>
      <c r="L191" s="63">
        <f t="shared" si="73"/>
        <v>2150</v>
      </c>
      <c r="M191" s="63">
        <f t="shared" si="73"/>
        <v>13210</v>
      </c>
      <c r="N191" s="63">
        <f t="shared" si="73"/>
        <v>2150</v>
      </c>
      <c r="O191" s="100">
        <f>SUM(O195+O199)</f>
        <v>13210</v>
      </c>
    </row>
    <row r="192" spans="1:15" ht="39" customHeight="1">
      <c r="A192" s="1">
        <v>184</v>
      </c>
      <c r="B192" s="17" t="s">
        <v>155</v>
      </c>
      <c r="C192" s="63">
        <v>0</v>
      </c>
      <c r="D192" s="63">
        <f>D196</f>
        <v>700</v>
      </c>
      <c r="E192" s="63">
        <v>0</v>
      </c>
      <c r="F192" s="54">
        <f t="shared" si="62"/>
        <v>-700</v>
      </c>
      <c r="G192" s="63"/>
      <c r="H192" s="63">
        <v>0</v>
      </c>
      <c r="I192" s="54"/>
      <c r="J192" s="54"/>
      <c r="K192" s="63"/>
      <c r="L192" s="63">
        <v>0</v>
      </c>
      <c r="M192" s="63"/>
      <c r="N192" s="63">
        <v>0</v>
      </c>
      <c r="O192" s="100"/>
    </row>
    <row r="193" spans="1:15" ht="63.75" customHeight="1">
      <c r="A193" s="1">
        <v>185</v>
      </c>
      <c r="B193" s="17" t="s">
        <v>103</v>
      </c>
      <c r="C193" s="63">
        <f>SUM(C197+C200)</f>
        <v>31672.79292</v>
      </c>
      <c r="D193" s="63">
        <f>SUM(D197+D200)</f>
        <v>25464.28555</v>
      </c>
      <c r="E193" s="63">
        <f>SUM(E197+E200)</f>
        <v>18167.2411</v>
      </c>
      <c r="F193" s="54">
        <f t="shared" si="62"/>
        <v>-7297.044450000001</v>
      </c>
      <c r="G193" s="63">
        <f>SUM(G197+G200)</f>
        <v>20808.847100000003</v>
      </c>
      <c r="H193" s="63">
        <f>SUM(H197+H200)</f>
        <v>0</v>
      </c>
      <c r="I193" s="54" t="e">
        <f>#REF!-G193</f>
        <v>#REF!</v>
      </c>
      <c r="J193" s="54">
        <v>0</v>
      </c>
      <c r="K193" s="63">
        <f>SUM(K197+K200)</f>
        <v>4816</v>
      </c>
      <c r="L193" s="63">
        <f>SUM(L197+L200)</f>
        <v>0</v>
      </c>
      <c r="M193" s="63">
        <f>SUM(M197+M200)</f>
        <v>0</v>
      </c>
      <c r="N193" s="63">
        <f>SUM(N197+N200)</f>
        <v>0</v>
      </c>
      <c r="O193" s="100">
        <f>SUM(O197+O200)</f>
        <v>0</v>
      </c>
    </row>
    <row r="194" spans="1:15" s="33" customFormat="1" ht="36.75" customHeight="1">
      <c r="A194" s="1">
        <v>186</v>
      </c>
      <c r="B194" s="18" t="s">
        <v>39</v>
      </c>
      <c r="C194" s="54">
        <f>SUM(C195:C197)</f>
        <v>17348</v>
      </c>
      <c r="D194" s="54">
        <f>SUM(D195:D197)</f>
        <v>14207.6563</v>
      </c>
      <c r="E194" s="54">
        <f>SUM(E195:E197)</f>
        <v>13238</v>
      </c>
      <c r="F194" s="54">
        <f t="shared" si="62"/>
        <v>-969.6563000000006</v>
      </c>
      <c r="G194" s="54">
        <f>SUM(G195:G197)</f>
        <v>13238</v>
      </c>
      <c r="H194" s="54">
        <f>SUM(H195:H197)</f>
        <v>0</v>
      </c>
      <c r="I194" s="54" t="e">
        <f>#REF!-G194</f>
        <v>#REF!</v>
      </c>
      <c r="J194" s="54">
        <v>0</v>
      </c>
      <c r="K194" s="54">
        <f>SUM(K195:K197)</f>
        <v>15816</v>
      </c>
      <c r="L194" s="54">
        <f>SUM(L195:L197)</f>
        <v>0</v>
      </c>
      <c r="M194" s="54">
        <f>SUM(M195:M197)</f>
        <v>11000</v>
      </c>
      <c r="N194" s="54">
        <f>SUM(N195:N197)</f>
        <v>0</v>
      </c>
      <c r="O194" s="99">
        <f>SUM(O195:O197)</f>
        <v>11000</v>
      </c>
    </row>
    <row r="195" spans="1:15" ht="30" customHeight="1">
      <c r="A195" s="1">
        <v>187</v>
      </c>
      <c r="B195" s="22">
        <v>1401</v>
      </c>
      <c r="C195" s="63">
        <v>15000</v>
      </c>
      <c r="D195" s="63">
        <v>11000</v>
      </c>
      <c r="E195" s="63">
        <v>11000</v>
      </c>
      <c r="F195" s="54">
        <f t="shared" si="62"/>
        <v>0</v>
      </c>
      <c r="G195" s="63">
        <v>11000</v>
      </c>
      <c r="H195" s="63">
        <v>0</v>
      </c>
      <c r="I195" s="54"/>
      <c r="J195" s="54"/>
      <c r="K195" s="63">
        <v>11000</v>
      </c>
      <c r="L195" s="63">
        <v>0</v>
      </c>
      <c r="M195" s="63">
        <v>11000</v>
      </c>
      <c r="N195" s="63">
        <v>0</v>
      </c>
      <c r="O195" s="100">
        <v>11000</v>
      </c>
    </row>
    <row r="196" spans="1:15" ht="30" customHeight="1">
      <c r="A196" s="1">
        <v>188</v>
      </c>
      <c r="B196" s="22" t="s">
        <v>154</v>
      </c>
      <c r="C196" s="63">
        <v>0</v>
      </c>
      <c r="D196" s="63">
        <v>700</v>
      </c>
      <c r="E196" s="63">
        <v>0</v>
      </c>
      <c r="F196" s="54">
        <f t="shared" si="62"/>
        <v>-700</v>
      </c>
      <c r="G196" s="63">
        <v>0</v>
      </c>
      <c r="H196" s="63">
        <v>0</v>
      </c>
      <c r="I196" s="54"/>
      <c r="J196" s="54"/>
      <c r="K196" s="63">
        <v>0</v>
      </c>
      <c r="L196" s="63">
        <v>0</v>
      </c>
      <c r="M196" s="63">
        <v>0</v>
      </c>
      <c r="N196" s="63">
        <v>0</v>
      </c>
      <c r="O196" s="100">
        <v>0</v>
      </c>
    </row>
    <row r="197" spans="1:15" ht="30" customHeight="1">
      <c r="A197" s="1">
        <v>189</v>
      </c>
      <c r="B197" s="22">
        <v>1403</v>
      </c>
      <c r="C197" s="63">
        <v>2348</v>
      </c>
      <c r="D197" s="63">
        <f>2291+216.6563</f>
        <v>2507.6563</v>
      </c>
      <c r="E197" s="63">
        <f>2238</f>
        <v>2238</v>
      </c>
      <c r="F197" s="54">
        <f t="shared" si="62"/>
        <v>-269.6563000000001</v>
      </c>
      <c r="G197" s="63">
        <v>2238</v>
      </c>
      <c r="H197" s="63">
        <v>0</v>
      </c>
      <c r="I197" s="54"/>
      <c r="J197" s="54"/>
      <c r="K197" s="63">
        <v>4816</v>
      </c>
      <c r="L197" s="63">
        <v>0</v>
      </c>
      <c r="M197" s="63">
        <v>0</v>
      </c>
      <c r="N197" s="63">
        <v>0</v>
      </c>
      <c r="O197" s="100">
        <v>0</v>
      </c>
    </row>
    <row r="198" spans="1:15" s="33" customFormat="1" ht="30" customHeight="1">
      <c r="A198" s="1">
        <v>190</v>
      </c>
      <c r="B198" s="18" t="s">
        <v>26</v>
      </c>
      <c r="C198" s="54">
        <f>SUM(C199:C200)</f>
        <v>31050.79292</v>
      </c>
      <c r="D198" s="54">
        <f>SUM(D199:D200)</f>
        <v>24685.62925</v>
      </c>
      <c r="E198" s="54">
        <f>SUM(E199:E200)</f>
        <v>18079.2411</v>
      </c>
      <c r="F198" s="54">
        <f t="shared" si="62"/>
        <v>-6606.3881500000025</v>
      </c>
      <c r="G198" s="54">
        <f>SUM(G199:G200)</f>
        <v>20720.847100000003</v>
      </c>
      <c r="H198" s="54">
        <f>SUM(H199:H200)</f>
        <v>2150</v>
      </c>
      <c r="I198" s="54">
        <f aca="true" t="shared" si="74" ref="I198:N198">SUM(I199:I200)</f>
        <v>0</v>
      </c>
      <c r="J198" s="54">
        <f t="shared" si="74"/>
        <v>0</v>
      </c>
      <c r="K198" s="54">
        <f t="shared" si="74"/>
        <v>2210</v>
      </c>
      <c r="L198" s="54">
        <f t="shared" si="74"/>
        <v>2150</v>
      </c>
      <c r="M198" s="54">
        <f t="shared" si="74"/>
        <v>2210</v>
      </c>
      <c r="N198" s="54">
        <f t="shared" si="74"/>
        <v>2150</v>
      </c>
      <c r="O198" s="99">
        <f>SUM(O199:O200)</f>
        <v>2210</v>
      </c>
    </row>
    <row r="199" spans="1:15" ht="30" customHeight="1">
      <c r="A199" s="1">
        <v>191</v>
      </c>
      <c r="B199" s="22">
        <v>1401</v>
      </c>
      <c r="C199" s="63">
        <v>1726</v>
      </c>
      <c r="D199" s="63">
        <v>1729</v>
      </c>
      <c r="E199" s="63">
        <v>2150</v>
      </c>
      <c r="F199" s="54">
        <f t="shared" si="62"/>
        <v>421</v>
      </c>
      <c r="G199" s="63">
        <v>2150</v>
      </c>
      <c r="H199" s="63">
        <v>2150</v>
      </c>
      <c r="I199" s="54"/>
      <c r="J199" s="54"/>
      <c r="K199" s="63">
        <v>2210</v>
      </c>
      <c r="L199" s="63">
        <v>2150</v>
      </c>
      <c r="M199" s="63">
        <v>2210</v>
      </c>
      <c r="N199" s="63">
        <v>2150</v>
      </c>
      <c r="O199" s="100">
        <v>2210</v>
      </c>
    </row>
    <row r="200" spans="1:15" ht="30" customHeight="1">
      <c r="A200" s="1">
        <v>192</v>
      </c>
      <c r="B200" s="22">
        <v>1403</v>
      </c>
      <c r="C200" s="63">
        <f>5540.65093+23513.62391+270.51808</f>
        <v>29324.79292</v>
      </c>
      <c r="D200" s="63">
        <f>2000+13685.29669+4500+208.33333+148.62024+2414.37899</f>
        <v>22956.62925</v>
      </c>
      <c r="E200" s="63">
        <f>102.72+15523.33408+303.18702</f>
        <v>15929.2411</v>
      </c>
      <c r="F200" s="54">
        <f t="shared" si="62"/>
        <v>-7027.3881500000025</v>
      </c>
      <c r="G200" s="63">
        <f>102.72+320+15523.33408+2321.606+303.18702</f>
        <v>18570.847100000003</v>
      </c>
      <c r="H200" s="63">
        <v>0</v>
      </c>
      <c r="I200" s="54"/>
      <c r="J200" s="54"/>
      <c r="K200" s="63">
        <v>0</v>
      </c>
      <c r="L200" s="63">
        <v>0</v>
      </c>
      <c r="M200" s="63">
        <v>0</v>
      </c>
      <c r="N200" s="63">
        <v>0</v>
      </c>
      <c r="O200" s="100">
        <v>0</v>
      </c>
    </row>
    <row r="201" spans="1:15" s="33" customFormat="1" ht="39.75" customHeight="1">
      <c r="A201" s="1">
        <v>193</v>
      </c>
      <c r="B201" s="19" t="s">
        <v>4</v>
      </c>
      <c r="C201" s="54">
        <f aca="true" t="shared" si="75" ref="C201:H201">C7-C46</f>
        <v>-8800.340679999907</v>
      </c>
      <c r="D201" s="54">
        <f t="shared" si="75"/>
        <v>7133.020799999824</v>
      </c>
      <c r="E201" s="54">
        <f>E7-E46+40445.81356</f>
        <v>2875.87726999967</v>
      </c>
      <c r="F201" s="54">
        <f t="shared" si="75"/>
        <v>-44702.957090000156</v>
      </c>
      <c r="G201" s="54">
        <f>G7-G46</f>
        <v>-12422.775160000194</v>
      </c>
      <c r="H201" s="54">
        <f t="shared" si="75"/>
        <v>-409954.74364999984</v>
      </c>
      <c r="I201" s="54" t="e">
        <f>#REF!-G201</f>
        <v>#REF!</v>
      </c>
      <c r="J201" s="54" t="s">
        <v>131</v>
      </c>
      <c r="K201" s="54">
        <f>K7-K46</f>
        <v>26270.340680000023</v>
      </c>
      <c r="L201" s="54">
        <f>L7-L46</f>
        <v>-44464.27656999952</v>
      </c>
      <c r="M201" s="54">
        <f>M7-M46</f>
        <v>48545.640000000014</v>
      </c>
      <c r="N201" s="54">
        <f>N7-N46</f>
        <v>-21681.132720000227</v>
      </c>
      <c r="O201" s="99">
        <f>O7-O46</f>
        <v>51008.54000000004</v>
      </c>
    </row>
    <row r="202" spans="1:15" ht="24.75" customHeight="1" hidden="1">
      <c r="A202" s="1">
        <v>194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41"/>
    </row>
    <row r="203" spans="1:15" ht="37.5" customHeight="1" hidden="1">
      <c r="A203" s="1">
        <v>195</v>
      </c>
      <c r="B203" s="9" t="s">
        <v>87</v>
      </c>
      <c r="C203" s="65">
        <f>SUM(C204:C213)</f>
        <v>0</v>
      </c>
      <c r="D203" s="65">
        <f>SUM(D204:D213)</f>
        <v>0</v>
      </c>
      <c r="E203" s="65">
        <f>SUM(E204:E213)</f>
        <v>0</v>
      </c>
      <c r="F203" s="65">
        <f>SUM(F204:F213)</f>
        <v>0</v>
      </c>
      <c r="G203" s="72"/>
      <c r="H203" s="65">
        <f>SUM(H204:H213)</f>
        <v>0</v>
      </c>
      <c r="I203" s="65">
        <f>SUM(I204:I213)</f>
        <v>0</v>
      </c>
      <c r="J203" s="34" t="e">
        <f aca="true" t="shared" si="76" ref="J203:J213">E203/B203</f>
        <v>#VALUE!</v>
      </c>
      <c r="K203" s="34"/>
      <c r="L203" s="53"/>
      <c r="M203" s="37"/>
      <c r="N203" s="37"/>
      <c r="O203" s="40"/>
    </row>
    <row r="204" spans="1:15" ht="34.5" customHeight="1" hidden="1">
      <c r="A204" s="1">
        <v>196</v>
      </c>
      <c r="B204" s="37" t="s">
        <v>7</v>
      </c>
      <c r="C204" s="65"/>
      <c r="D204" s="65"/>
      <c r="E204" s="65"/>
      <c r="F204" s="65"/>
      <c r="G204" s="72"/>
      <c r="H204" s="65"/>
      <c r="I204" s="65"/>
      <c r="J204" s="34" t="e">
        <f t="shared" si="76"/>
        <v>#VALUE!</v>
      </c>
      <c r="K204" s="34"/>
      <c r="L204" s="53"/>
      <c r="M204" s="37"/>
      <c r="N204" s="37"/>
      <c r="O204" s="40"/>
    </row>
    <row r="205" spans="1:15" ht="34.5" customHeight="1" hidden="1">
      <c r="A205" s="1">
        <v>197</v>
      </c>
      <c r="B205" s="37" t="s">
        <v>56</v>
      </c>
      <c r="C205" s="65"/>
      <c r="D205" s="65"/>
      <c r="E205" s="65"/>
      <c r="F205" s="65"/>
      <c r="G205" s="72"/>
      <c r="H205" s="65"/>
      <c r="I205" s="65"/>
      <c r="J205" s="34" t="e">
        <f t="shared" si="76"/>
        <v>#VALUE!</v>
      </c>
      <c r="K205" s="34"/>
      <c r="L205" s="53"/>
      <c r="M205" s="37"/>
      <c r="N205" s="37"/>
      <c r="O205" s="40"/>
    </row>
    <row r="206" spans="1:15" ht="34.5" customHeight="1" hidden="1">
      <c r="A206" s="1">
        <v>198</v>
      </c>
      <c r="B206" s="37" t="s">
        <v>57</v>
      </c>
      <c r="C206" s="65"/>
      <c r="D206" s="65"/>
      <c r="E206" s="65"/>
      <c r="F206" s="65"/>
      <c r="G206" s="72"/>
      <c r="H206" s="65"/>
      <c r="I206" s="65"/>
      <c r="J206" s="34" t="e">
        <f t="shared" si="76"/>
        <v>#VALUE!</v>
      </c>
      <c r="K206" s="34"/>
      <c r="L206" s="53"/>
      <c r="M206" s="37"/>
      <c r="N206" s="37"/>
      <c r="O206" s="40"/>
    </row>
    <row r="207" spans="1:15" ht="34.5" customHeight="1" hidden="1">
      <c r="A207" s="1">
        <v>199</v>
      </c>
      <c r="B207" s="37" t="s">
        <v>8</v>
      </c>
      <c r="C207" s="65"/>
      <c r="D207" s="65"/>
      <c r="E207" s="65"/>
      <c r="F207" s="65"/>
      <c r="G207" s="72"/>
      <c r="H207" s="65"/>
      <c r="I207" s="65"/>
      <c r="J207" s="34" t="e">
        <f t="shared" si="76"/>
        <v>#VALUE!</v>
      </c>
      <c r="K207" s="34"/>
      <c r="L207" s="53"/>
      <c r="M207" s="37"/>
      <c r="N207" s="37"/>
      <c r="O207" s="40"/>
    </row>
    <row r="208" spans="1:15" ht="34.5" customHeight="1" hidden="1">
      <c r="A208" s="1">
        <v>200</v>
      </c>
      <c r="B208" s="37" t="s">
        <v>9</v>
      </c>
      <c r="C208" s="65"/>
      <c r="D208" s="65"/>
      <c r="E208" s="65"/>
      <c r="F208" s="65"/>
      <c r="G208" s="72"/>
      <c r="H208" s="65"/>
      <c r="I208" s="65"/>
      <c r="J208" s="34" t="e">
        <f t="shared" si="76"/>
        <v>#VALUE!</v>
      </c>
      <c r="K208" s="34"/>
      <c r="L208" s="53"/>
      <c r="M208" s="37"/>
      <c r="N208" s="37"/>
      <c r="O208" s="40"/>
    </row>
    <row r="209" spans="1:15" ht="34.5" customHeight="1" hidden="1">
      <c r="A209" s="1">
        <v>201</v>
      </c>
      <c r="B209" s="37" t="s">
        <v>58</v>
      </c>
      <c r="C209" s="65"/>
      <c r="D209" s="65"/>
      <c r="E209" s="65"/>
      <c r="F209" s="65"/>
      <c r="G209" s="72"/>
      <c r="H209" s="65"/>
      <c r="I209" s="65"/>
      <c r="J209" s="34" t="e">
        <f t="shared" si="76"/>
        <v>#VALUE!</v>
      </c>
      <c r="K209" s="34"/>
      <c r="L209" s="53"/>
      <c r="M209" s="37"/>
      <c r="N209" s="37"/>
      <c r="O209" s="40"/>
    </row>
    <row r="210" spans="1:15" ht="34.5" customHeight="1" hidden="1">
      <c r="A210" s="1">
        <v>202</v>
      </c>
      <c r="B210" s="37" t="s">
        <v>59</v>
      </c>
      <c r="C210" s="65"/>
      <c r="D210" s="65"/>
      <c r="E210" s="65"/>
      <c r="F210" s="65"/>
      <c r="G210" s="72"/>
      <c r="H210" s="65"/>
      <c r="I210" s="65"/>
      <c r="J210" s="34" t="e">
        <f t="shared" si="76"/>
        <v>#VALUE!</v>
      </c>
      <c r="K210" s="34"/>
      <c r="L210" s="53"/>
      <c r="M210" s="37"/>
      <c r="N210" s="37"/>
      <c r="O210" s="40"/>
    </row>
    <row r="211" spans="1:15" ht="34.5" customHeight="1" hidden="1">
      <c r="A211" s="1">
        <v>203</v>
      </c>
      <c r="B211" s="37" t="s">
        <v>60</v>
      </c>
      <c r="C211" s="65"/>
      <c r="D211" s="65"/>
      <c r="E211" s="65"/>
      <c r="F211" s="65"/>
      <c r="G211" s="72"/>
      <c r="H211" s="65"/>
      <c r="I211" s="65"/>
      <c r="J211" s="34" t="e">
        <f t="shared" si="76"/>
        <v>#VALUE!</v>
      </c>
      <c r="K211" s="34"/>
      <c r="L211" s="53"/>
      <c r="M211" s="37"/>
      <c r="N211" s="37"/>
      <c r="O211" s="40"/>
    </row>
    <row r="212" spans="1:15" ht="39" customHeight="1" hidden="1">
      <c r="A212" s="1">
        <v>204</v>
      </c>
      <c r="B212" s="37" t="s">
        <v>13</v>
      </c>
      <c r="C212" s="65"/>
      <c r="D212" s="65"/>
      <c r="E212" s="65"/>
      <c r="F212" s="65"/>
      <c r="G212" s="72"/>
      <c r="H212" s="65"/>
      <c r="I212" s="65"/>
      <c r="J212" s="34" t="e">
        <f t="shared" si="76"/>
        <v>#VALUE!</v>
      </c>
      <c r="K212" s="34"/>
      <c r="L212" s="53"/>
      <c r="M212" s="37"/>
      <c r="N212" s="37"/>
      <c r="O212" s="40"/>
    </row>
    <row r="213" spans="1:15" ht="72" customHeight="1" hidden="1">
      <c r="A213" s="1">
        <v>205</v>
      </c>
      <c r="B213" s="37" t="s">
        <v>14</v>
      </c>
      <c r="C213" s="65"/>
      <c r="D213" s="65"/>
      <c r="E213" s="65"/>
      <c r="F213" s="65"/>
      <c r="G213" s="72"/>
      <c r="H213" s="65"/>
      <c r="I213" s="65"/>
      <c r="J213" s="34" t="e">
        <f t="shared" si="76"/>
        <v>#VALUE!</v>
      </c>
      <c r="K213" s="34"/>
      <c r="L213" s="53"/>
      <c r="M213" s="37"/>
      <c r="N213" s="37"/>
      <c r="O213" s="40"/>
    </row>
    <row r="214" spans="1:15" ht="72" customHeight="1">
      <c r="A214" s="38"/>
      <c r="B214" s="39"/>
      <c r="C214" s="66"/>
      <c r="D214" s="66"/>
      <c r="E214" s="66"/>
      <c r="F214" s="66"/>
      <c r="G214" s="73"/>
      <c r="H214" s="66"/>
      <c r="I214" s="66"/>
      <c r="J214" s="41"/>
      <c r="K214" s="41"/>
      <c r="L214" s="57"/>
      <c r="M214" s="67"/>
      <c r="N214" s="39"/>
      <c r="O214" s="82"/>
    </row>
    <row r="215" spans="2:15" ht="15.75" customHeight="1">
      <c r="B215" s="44"/>
      <c r="C215" s="50"/>
      <c r="D215" s="50"/>
      <c r="J215" s="43"/>
      <c r="K215" s="43"/>
      <c r="M215" s="43"/>
      <c r="N215" s="43"/>
      <c r="O215" s="46"/>
    </row>
    <row r="216" spans="2:15" ht="15.75" customHeight="1">
      <c r="B216" s="44"/>
      <c r="J216" s="43"/>
      <c r="K216" s="43"/>
      <c r="M216" s="43"/>
      <c r="N216" s="43"/>
      <c r="O216" s="35"/>
    </row>
    <row r="217" spans="2:15" ht="15.75" customHeight="1">
      <c r="B217" s="47"/>
      <c r="O217" s="29"/>
    </row>
    <row r="218" spans="3:15" ht="32.25" customHeight="1">
      <c r="C218" s="50"/>
      <c r="D218" s="50"/>
      <c r="M218" s="43"/>
      <c r="O218" s="49"/>
    </row>
    <row r="219" spans="3:15" ht="15.75" customHeight="1">
      <c r="C219" s="50"/>
      <c r="D219" s="50"/>
      <c r="O219" s="49"/>
    </row>
    <row r="220" ht="15.75" customHeight="1">
      <c r="O220" s="29"/>
    </row>
    <row r="221" ht="15.75" customHeight="1">
      <c r="O221" s="29"/>
    </row>
    <row r="222" spans="3:15" ht="66.75" customHeight="1">
      <c r="C222" s="50"/>
      <c r="D222" s="50"/>
      <c r="M222" s="83"/>
      <c r="O222" s="51"/>
    </row>
    <row r="224" spans="2:15" ht="20.25">
      <c r="B224" s="47"/>
      <c r="C224" s="50"/>
      <c r="D224" s="50"/>
      <c r="O224" s="51"/>
    </row>
    <row r="225" spans="3:4" ht="15.75" customHeight="1">
      <c r="C225" s="50"/>
      <c r="D225" s="50"/>
    </row>
    <row r="226" spans="3:15" ht="15.75" customHeight="1">
      <c r="C226" s="50"/>
      <c r="D226" s="50"/>
      <c r="O226" s="51"/>
    </row>
    <row r="227" spans="3:4" ht="15.75" customHeight="1">
      <c r="C227" s="50"/>
      <c r="D227" s="50"/>
    </row>
    <row r="229" spans="2:4" ht="18.75" customHeight="1">
      <c r="B229" s="47"/>
      <c r="C229" s="50"/>
      <c r="D229" s="50"/>
    </row>
    <row r="233" ht="18.75" customHeight="1">
      <c r="B233" s="47"/>
    </row>
    <row r="234" spans="3:15" ht="15.75" customHeight="1">
      <c r="C234" s="50"/>
      <c r="D234" s="50"/>
      <c r="O234" s="47"/>
    </row>
    <row r="235" spans="3:15" ht="15.75" customHeight="1">
      <c r="C235" s="50"/>
      <c r="D235" s="50"/>
      <c r="O235" s="47"/>
    </row>
    <row r="236" spans="3:15" ht="15.75" customHeight="1">
      <c r="C236" s="50"/>
      <c r="D236" s="50"/>
      <c r="O236" s="49"/>
    </row>
    <row r="237" spans="3:15" ht="15.75" customHeight="1">
      <c r="C237" s="50"/>
      <c r="D237" s="50"/>
      <c r="O237" s="47"/>
    </row>
    <row r="238" spans="3:15" ht="15.75" customHeight="1">
      <c r="C238" s="50"/>
      <c r="D238" s="50"/>
      <c r="O238" s="49"/>
    </row>
    <row r="239" ht="15.75" customHeight="1"/>
    <row r="240" ht="15.75" customHeight="1"/>
    <row r="241" spans="3:4" ht="15.75" customHeight="1">
      <c r="C241" s="50"/>
      <c r="D241" s="50"/>
    </row>
    <row r="242" ht="15.75" customHeight="1"/>
    <row r="243" spans="3:4" ht="15.75" customHeight="1">
      <c r="C243" s="50"/>
      <c r="D243" s="50"/>
    </row>
    <row r="245" ht="18.75" customHeight="1">
      <c r="B245" s="47"/>
    </row>
    <row r="246" spans="3:4" ht="15.75" customHeight="1">
      <c r="C246" s="50"/>
      <c r="D246" s="50"/>
    </row>
    <row r="247" ht="15.75" customHeight="1"/>
    <row r="248" ht="15.75" customHeight="1"/>
    <row r="249" ht="15.75" customHeight="1"/>
    <row r="250" ht="20.25">
      <c r="B250" s="47"/>
    </row>
    <row r="251" spans="3:4" ht="15.75" customHeight="1">
      <c r="C251" s="50"/>
      <c r="D251" s="50"/>
    </row>
    <row r="252" spans="3:4" ht="15.75" customHeight="1">
      <c r="C252" s="50"/>
      <c r="D252" s="50"/>
    </row>
  </sheetData>
  <sheetProtection/>
  <mergeCells count="3">
    <mergeCell ref="B202:N202"/>
    <mergeCell ref="I2:N2"/>
    <mergeCell ref="A3:N3"/>
  </mergeCells>
  <printOptions/>
  <pageMargins left="0.3937007874015748" right="0" top="0.3937007874015748" bottom="0" header="0.15748031496062992" footer="0.1968503937007874"/>
  <pageSetup fitToHeight="5" fitToWidth="1" horizontalDpi="600" verticalDpi="600" orientation="landscape" paperSize="9" scale="33" r:id="rId3"/>
  <headerFooter>
    <oddFooter>&amp;CСтраница  &amp;P из &amp;N</oddFooter>
  </headerFooter>
  <rowBreaks count="3" manualBreakCount="3">
    <brk id="45" max="13" man="1"/>
    <brk id="89" max="13" man="1"/>
    <brk id="145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Shihova</dc:creator>
  <cp:keywords/>
  <dc:description/>
  <cp:lastModifiedBy>Ирина Блинова</cp:lastModifiedBy>
  <cp:lastPrinted>2023-10-26T12:49:30Z</cp:lastPrinted>
  <dcterms:created xsi:type="dcterms:W3CDTF">2008-08-21T10:12:18Z</dcterms:created>
  <dcterms:modified xsi:type="dcterms:W3CDTF">2024-03-13T15:53:18Z</dcterms:modified>
  <cp:category/>
  <cp:version/>
  <cp:contentType/>
  <cp:contentStatus/>
</cp:coreProperties>
</file>