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95" activeTab="0"/>
  </bookViews>
  <sheets>
    <sheet name="Параметры по доходам" sheetId="1" r:id="rId1"/>
  </sheets>
  <externalReferences>
    <externalReference r:id="rId4"/>
  </externalReferences>
  <definedNames>
    <definedName name="A" localSheetId="0">#REF!</definedName>
    <definedName name="A">#REF!</definedName>
    <definedName name="Z_2CA782B0_B97F_435B_AED9_87193677D323_.wvu.Cols" localSheetId="0" hidden="1">'Параметры по доходам'!#REF!,'Параметры по доходам'!#REF!</definedName>
    <definedName name="Z_2CA782B0_B97F_435B_AED9_87193677D323_.wvu.PrintTitles" localSheetId="0" hidden="1">'Параметры по доходам'!$5:$5</definedName>
    <definedName name="Z_2CA782B0_B97F_435B_AED9_87193677D323_.wvu.Rows" localSheetId="0" hidden="1">'Параметры по доходам'!$8:$44,'Параметры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</definedName>
    <definedName name="Z_2D6EB9BE_9E94_40DC_8475_1F8DEB6121B2_.wvu.PrintArea" localSheetId="0" hidden="1">'Параметры по доходам'!$A$1:$M$44</definedName>
    <definedName name="Z_2D6EB9BE_9E94_40DC_8475_1F8DEB6121B2_.wvu.PrintTitles" localSheetId="0" hidden="1">'Параметры по доходам'!$5:$5</definedName>
    <definedName name="Z_2D6EB9BE_9E94_40DC_8475_1F8DEB6121B2_.wvu.Rows" localSheetId="0" hidden="1">'Параметры по доходам'!#REF!,'Параметры по доходам'!#REF!,'Параметры по доходам'!#REF!</definedName>
    <definedName name="Z_79662088_E730_4999_8CDD_F3350E97CDD4_.wvu.Cols" localSheetId="0" hidden="1">'Параметры по доходам'!#REF!,'Параметры по доходам'!#REF!</definedName>
    <definedName name="Z_79662088_E730_4999_8CDD_F3350E97CDD4_.wvu.PrintArea" localSheetId="0" hidden="1">'Параметры по доходам'!$A$2:$M$44</definedName>
    <definedName name="Z_79662088_E730_4999_8CDD_F3350E97CDD4_.wvu.PrintTitles" localSheetId="0" hidden="1">'Параметры по доходам'!$A:$B,'Параметры по доходам'!$5:$5</definedName>
    <definedName name="Z_79662088_E730_4999_8CDD_F3350E97CDD4_.wvu.Rows" localSheetId="0" hidden="1">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</definedName>
    <definedName name="Z_99A87AB4_46A9_477F_8E5E_3E16685E3176_.wvu.Cols" localSheetId="0" hidden="1">'Параметры по доходам'!#REF!,'Параметры по доходам'!#REF!,'Параметры по доходам'!#REF!</definedName>
    <definedName name="Z_99A87AB4_46A9_477F_8E5E_3E16685E3176_.wvu.PrintArea" localSheetId="0" hidden="1">'Параметры по доходам'!$A$1:$M$44</definedName>
    <definedName name="Z_99A87AB4_46A9_477F_8E5E_3E16685E3176_.wvu.PrintTitles" localSheetId="0" hidden="1">'Параметры по доходам'!$5:$6</definedName>
    <definedName name="Z_99A87AB4_46A9_477F_8E5E_3E16685E3176_.wvu.Rows" localSheetId="0" hidden="1">'Параметры по доходам'!#REF!,'Параметры по доходам'!#REF!,'Параметры по доходам'!#REF!</definedName>
    <definedName name="Z_B43C4B24_59D6_4577_9656_D0EAFB4F8E72_.wvu.Cols" localSheetId="0" hidden="1">'Параметры по доходам'!#REF!,'Параметры по доходам'!#REF!</definedName>
    <definedName name="Z_B43C4B24_59D6_4577_9656_D0EAFB4F8E72_.wvu.PrintArea" localSheetId="0" hidden="1">'Параметры по доходам'!$A$2:$M$44</definedName>
    <definedName name="Z_B43C4B24_59D6_4577_9656_D0EAFB4F8E72_.wvu.Rows" localSheetId="0" hidden="1">'Параметры по доходам'!$7:$44,'Параметры по доходам'!#REF!,'Параметры по доходам'!#REF!,'Параметры по доходам'!#REF!,'Параметры по доходам'!#REF!</definedName>
    <definedName name="Z_B7B0BDFE_99FF_4031_9EBD_83340C6E0C36_.wvu.Cols" localSheetId="0" hidden="1">'Параметры по доходам'!#REF!,'Параметры по доходам'!#REF!,'Параметры по доходам'!#REF!</definedName>
    <definedName name="Z_B7B0BDFE_99FF_4031_9EBD_83340C6E0C36_.wvu.PrintTitles" localSheetId="0" hidden="1">'Параметры по доходам'!$5:$5</definedName>
    <definedName name="Z_B7B0BDFE_99FF_4031_9EBD_83340C6E0C36_.wvu.Rows" localSheetId="0" hidden="1">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</definedName>
    <definedName name="Z_C89A2FD7_C4B0_42A3_8F92_5A2F0A170132_.wvu.PrintTitles" localSheetId="0" hidden="1">'Параметры по доходам'!$5:$5</definedName>
    <definedName name="Z_C89A2FD7_C4B0_42A3_8F92_5A2F0A170132_.wvu.Rows" localSheetId="0" hidden="1">'Параметры по доходам'!#REF!,'Параметры по доходам'!#REF!</definedName>
    <definedName name="Z_C9D085E4_9444_471B_9419_AC88CD971B21_.wvu.PrintArea" localSheetId="0" hidden="1">'Параметры по доходам'!$A$1:$M$44</definedName>
    <definedName name="Z_C9D085E4_9444_471B_9419_AC88CD971B21_.wvu.PrintTitles" localSheetId="0" hidden="1">'Параметры по доходам'!$5:$5</definedName>
    <definedName name="Z_C9D085E4_9444_471B_9419_AC88CD971B21_.wvu.Rows" localSheetId="0" hidden="1">'Параметры по доходам'!#REF!</definedName>
    <definedName name="Z_F2F3820C_F7F6_47E0_903A_733B13BFB6DA_.wvu.Rows" localSheetId="0" hidden="1">'Параметры по доходам'!$7:$44</definedName>
    <definedName name="_xlnm.Print_Titles" localSheetId="0">'Параметры по доходам'!$5:$5</definedName>
    <definedName name="_xlnm.Print_Area" localSheetId="0">'Параметры по доходам'!$A$1:$T$44</definedName>
    <definedName name="Область_печати_ИМ">#REF!</definedName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<sst xmlns="http://schemas.openxmlformats.org/spreadsheetml/2006/main" count="66" uniqueCount="64">
  <si>
    <t>Показатель</t>
  </si>
  <si>
    <t>Общий объем доходов</t>
  </si>
  <si>
    <t>из них:</t>
  </si>
  <si>
    <t>в том числе:</t>
  </si>
  <si>
    <t>Субвенции бюджетам муниципальных районов на выполнение передаваемых полномочий по расчету и предоставлению дотации бюджетам поселений</t>
  </si>
  <si>
    <t>Безвозмездные поступления</t>
  </si>
  <si>
    <t>Налоговые и неналоговые доходы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</si>
  <si>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</si>
  <si>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НДФЛ</t>
  </si>
  <si>
    <t xml:space="preserve">Единый налог на вмененный доход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</si>
  <si>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</si>
  <si>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</si>
  <si>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</si>
  <si>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Доходы, получаемые в виде арендной платы за  земельных участков</t>
  </si>
  <si>
    <t>Доходы от сдачи в аренду имущества</t>
  </si>
  <si>
    <t>Прочие доходы от использования имушества</t>
  </si>
  <si>
    <t xml:space="preserve">Доходы от оказания платных услуг </t>
  </si>
  <si>
    <t>Доходы от компенсации затрат государства</t>
  </si>
  <si>
    <t>Штрафы, санкции, возмещение ущерба</t>
  </si>
  <si>
    <t>Прочие неналоговые доходы</t>
  </si>
  <si>
    <t>ДОТАЦИИ  бюджетам муниципальных районов на выравнивание бюджетной обеспеченности</t>
  </si>
  <si>
    <t xml:space="preserve">ПРОЧИЕ БЕЗВОЗМЕЗДНЫЕ ПОСТУПЛЕНИЯ в бюджеты муниципальных районов </t>
  </si>
  <si>
    <t>Платежи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</si>
  <si>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</si>
  <si>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</si>
  <si>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Неналоговые доходы, в т.ч.</t>
  </si>
  <si>
    <t>Налоговые доходы, в т.ч.</t>
  </si>
  <si>
    <t>СУБСИДИИ, ВСЕГО</t>
  </si>
  <si>
    <t>СУБВЕНЦИИ, ВСЕГО</t>
  </si>
  <si>
    <t>№ стр</t>
  </si>
  <si>
    <t>Дотации бюджетам муниципальных районов на поддержку мер по обеспечению сбалансированности бюджетов</t>
  </si>
  <si>
    <t>ИНЫЕ МЕЖБЮДЖЕТНЫЕ ТРАНСФЕРТЫ,
в т.ч.</t>
  </si>
  <si>
    <t>Межбюджетные трансферты, передаваемые бюджетам муниципальных районов из бюджета Республики Карелия</t>
  </si>
  <si>
    <t>7</t>
  </si>
  <si>
    <t xml:space="preserve">Прочие безвозмездные поступления от нерезидентов в бюджеты муниципальных районов   </t>
  </si>
  <si>
    <t>Возврат остатков субсидий, субвенций  и иных межбюджетных трансфертов, имеющих целевое назначение, прошлых лет (218,219)</t>
  </si>
  <si>
    <t>Проект Решения на 2023 год</t>
  </si>
  <si>
    <t>Проект Решения на 2024 год</t>
  </si>
  <si>
    <t>10=9-7</t>
  </si>
  <si>
    <t>2021 год
(отчет)</t>
  </si>
  <si>
    <t>Отклонение
(план 2022 года к отчету 2021 года)</t>
  </si>
  <si>
    <t xml:space="preserve">Предварительная оценка
на 2022 год
</t>
  </si>
  <si>
    <t xml:space="preserve">Предварительные обоснования
на 2023 год </t>
  </si>
  <si>
    <t>Отклонение
(предв.обоснования 2023 года к оценке 2022 года)</t>
  </si>
  <si>
    <t>Темп роста 2023 года к оценке 2022 года</t>
  </si>
  <si>
    <t>Предварительные обоснования
на 2024 год</t>
  </si>
  <si>
    <t xml:space="preserve">Предварительные обоснования
на 2025 год </t>
  </si>
  <si>
    <t>Проект Решения на 2025 год</t>
  </si>
  <si>
    <t>3</t>
  </si>
  <si>
    <t>5=4-3</t>
  </si>
  <si>
    <t>Акцизы</t>
  </si>
  <si>
    <t>УСН</t>
  </si>
  <si>
    <t>Плановые назначения
на 2022 год
(с учетом изменений на 01.10.2022)</t>
  </si>
  <si>
    <t>3.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</si>
  <si>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</si>
  <si>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Основные параметры по доходам  бюджета Кондопожского муниципального района на 2023 год и плановый период 2024-2025 г.г. </t>
  </si>
  <si>
    <t>4</t>
  </si>
  <si>
    <t>Отклонение проекта решения на 2023 год от факта 2021 года</t>
  </si>
  <si>
    <t>Отклонение проекта решения на 2023 год от предварительной оценки на 2022 год</t>
  </si>
  <si>
    <t>Отклонение проекта решения на 2024 год от факта 2021 года</t>
  </si>
  <si>
    <t>Отклонение проекта решения на 2024 год от предварительной оценки на 2022 год</t>
  </si>
  <si>
    <t>Отклонение проекта решения на 2025 год от факта 2021 года</t>
  </si>
  <si>
    <t>Отклонение проекта решения на 2025 год от предварительной оценки на 2022 год</t>
  </si>
  <si>
    <t>(тыс. рублей)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</si>
</sst>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_)"/>
    <numFmt numFmtId="176" formatCode="dd/mm/yy;@"/>
    <numFmt numFmtId="177" formatCode="dd\ mmm\ yy"/>
    <numFmt numFmtId="178" formatCode="0;[Red]0"/>
    <numFmt numFmtId="179" formatCode="#,##0.0"/>
    <numFmt numFmtId="180" formatCode="#,##0_ ;[Red]\-#,##0\ "/>
    <numFmt numFmtId="181" formatCode="#,##0.0_ ;[Red]\-#,##0.0\ "/>
    <numFmt numFmtId="182" formatCode="#,##0;[Red]\-#,##0;0"/>
    <numFmt numFmtId="183" formatCode="0%;[Red]\-0%"/>
    <numFmt numFmtId="184" formatCode="#,##0.0;[Red]\-#,##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"/>
    <numFmt numFmtId="191" formatCode="000"/>
    <numFmt numFmtId="192" formatCode="0.00000000"/>
    <numFmt numFmtId="193" formatCode="0.000000000"/>
    <numFmt numFmtId="194" formatCode="0.000000"/>
    <numFmt numFmtId="195" formatCode="0.00000"/>
    <numFmt numFmtId="196" formatCode="0.0000"/>
    <numFmt numFmtId="197" formatCode="0.0000000"/>
    <numFmt numFmtId="198" formatCode="0.0000000000"/>
    <numFmt numFmtId="199" formatCode="0.00000000000"/>
    <numFmt numFmtId="200" formatCode="0.000000000000"/>
    <numFmt numFmtId="201" formatCode="#,##0.00_ ;[Red]\-#,##0.00\ "/>
    <numFmt numFmtId="202" formatCode="#,##0.00&quot;р.&quot;"/>
    <numFmt numFmtId="203" formatCode="#,##0.000_ ;[Red]\-#,##0.000\ "/>
    <numFmt numFmtId="204" formatCode="#,##0.0000_ ;[Red]\-#,##0.0000\ "/>
    <numFmt numFmtId="205" formatCode="#,##0.00000_ ;[Red]\-#,##0.00000\ "/>
    <numFmt numFmtId="206" formatCode="#,##0.000000_ ;[Red]\-#,##0.000000\ "/>
    <numFmt numFmtId="207" formatCode="#,##0.0000000_ ;[Red]\-#,##0.0000000\ "/>
    <numFmt numFmtId="208" formatCode="#,##0.00000000_ ;[Red]\-#,##0.00000000\ "/>
    <numFmt numFmtId="209" formatCode="#,##0.000000000_ ;[Red]\-#,##0.000000000\ "/>
    <numFmt numFmtId="210" formatCode="#,##0.000000"/>
    <numFmt numFmtId="211" formatCode="#,##0.00000"/>
    <numFmt numFmtId="212" formatCode="#,##0.0000"/>
    <numFmt numFmtId="213" formatCode="#,##0.000"/>
    <numFmt numFmtId="214" formatCode="0.00000%"/>
    <numFmt numFmtId="215" formatCode="0.0%"/>
    <numFmt numFmtId="216" formatCode="#,##0.0000000"/>
    <numFmt numFmtId="217" formatCode="#,##0.00000000"/>
    <numFmt numFmtId="218" formatCode="#,##0.000000000"/>
    <numFmt numFmtId="219" formatCode="#,##0.0000000000"/>
    <numFmt numFmtId="220" formatCode="[$-FC19]d\ mmmm\ yyyy\ &quot;г.&quot;"/>
    <numFmt numFmtId="221" formatCode="#,##0.00000000000"/>
    <numFmt numFmtId="222" formatCode="#,##0.000000000000"/>
    <numFmt numFmtId="223" formatCode="#,##0.0000000000000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u val="single"/>
      <sz val="10"/>
      <color indexed="36"/>
      <name val="Times New Roman"/>
      <family val="1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3" applyNumberFormat="0">
      <alignment horizontal="right" vertical="top"/>
      <protection locked="0"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0" fillId="0" borderId="4">
      <alignment/>
      <protection/>
    </xf>
    <xf numFmtId="0" fontId="0" fillId="0" borderId="4">
      <alignment horizontal="left"/>
      <protection/>
    </xf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49" fontId="0" fillId="29" borderId="3">
      <alignment horizontal="left" vertical="top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9" fillId="0" borderId="8" applyNumberFormat="0" applyFill="0" applyAlignment="0" applyProtection="0"/>
    <xf numFmtId="0" fontId="40" fillId="35" borderId="9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0" borderId="10" applyNumberFormat="0">
      <alignment horizontal="right" vertical="top"/>
      <protection/>
    </xf>
    <xf numFmtId="0" fontId="2" fillId="31" borderId="10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0" fillId="30" borderId="10" applyNumberFormat="0">
      <alignment horizontal="right" vertical="top"/>
      <protection/>
    </xf>
    <xf numFmtId="0" fontId="2" fillId="32" borderId="10" applyNumberFormat="0">
      <alignment horizontal="right" vertical="top"/>
      <protection locked="0"/>
    </xf>
    <xf numFmtId="0" fontId="2" fillId="0" borderId="3" applyNumberFormat="0">
      <alignment horizontal="right" vertical="top"/>
      <protection locked="0"/>
    </xf>
    <xf numFmtId="0" fontId="0" fillId="32" borderId="10" applyNumberFormat="0">
      <alignment horizontal="right" vertical="top"/>
      <protection locked="0"/>
    </xf>
    <xf numFmtId="0" fontId="5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0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7" fillId="39" borderId="3">
      <alignment horizontal="left" vertical="top" wrapText="1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63">
    <xf numFmtId="0" fontId="0" fillId="0" borderId="0" xfId="0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 indent="1"/>
    </xf>
    <xf numFmtId="2" fontId="10" fillId="0" borderId="4" xfId="0" applyNumberFormat="1" applyFont="1" applyFill="1" applyBorder="1" applyAlignment="1">
      <alignment horizontal="left" vertical="center" wrapText="1" indent="4"/>
    </xf>
    <xf numFmtId="2" fontId="12" fillId="0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0" fontId="11" fillId="0" borderId="4" xfId="0" applyNumberFormat="1" applyFont="1" applyFill="1" applyBorder="1" applyAlignment="1">
      <alignment horizontal="center" vertical="center" wrapText="1"/>
    </xf>
    <xf numFmtId="10" fontId="11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41" borderId="4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" fontId="10" fillId="41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41" borderId="0" xfId="0" applyNumberFormat="1" applyFont="1" applyFill="1" applyBorder="1" applyAlignment="1">
      <alignment horizontal="center" vertical="center"/>
    </xf>
    <xf numFmtId="4" fontId="10" fillId="41" borderId="17" xfId="0" applyNumberFormat="1" applyFont="1" applyFill="1" applyBorder="1" applyAlignment="1">
      <alignment horizontal="center" vertical="center"/>
    </xf>
    <xf numFmtId="4" fontId="10" fillId="41" borderId="14" xfId="0" applyNumberFormat="1" applyFont="1" applyFill="1" applyBorder="1" applyAlignment="1">
      <alignment horizontal="center" vertical="center" wrapText="1"/>
    </xf>
    <xf numFmtId="49" fontId="8" fillId="41" borderId="18" xfId="0" applyNumberFormat="1" applyFont="1" applyFill="1" applyBorder="1" applyAlignment="1">
      <alignment horizontal="center" vertical="center" wrapText="1"/>
    </xf>
    <xf numFmtId="4" fontId="10" fillId="41" borderId="16" xfId="0" applyNumberFormat="1" applyFont="1" applyFill="1" applyBorder="1" applyAlignment="1">
      <alignment horizontal="center" vertical="center" wrapText="1"/>
    </xf>
    <xf numFmtId="4" fontId="10" fillId="41" borderId="0" xfId="0" applyNumberFormat="1" applyFont="1" applyFill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 wrapText="1"/>
    </xf>
    <xf numFmtId="211" fontId="10" fillId="0" borderId="4" xfId="0" applyNumberFormat="1" applyFont="1" applyFill="1" applyBorder="1" applyAlignment="1">
      <alignment horizontal="center" vertical="center" wrapText="1"/>
    </xf>
    <xf numFmtId="49" fontId="10" fillId="0" borderId="0" xfId="71" applyNumberFormat="1" applyFont="1" applyFill="1" applyBorder="1" applyAlignment="1">
      <alignment horizontal="right" vertical="center" wrapText="1"/>
      <protection/>
    </xf>
    <xf numFmtId="3" fontId="8" fillId="0" borderId="18" xfId="0" applyNumberFormat="1" applyFont="1" applyFill="1" applyBorder="1" applyAlignment="1">
      <alignment horizontal="center" vertical="center" wrapText="1"/>
    </xf>
    <xf numFmtId="195" fontId="10" fillId="0" borderId="4" xfId="0" applyNumberFormat="1" applyFont="1" applyFill="1" applyBorder="1" applyAlignment="1">
      <alignment horizontal="center" vertical="center" wrapText="1"/>
    </xf>
    <xf numFmtId="195" fontId="11" fillId="0" borderId="4" xfId="0" applyNumberFormat="1" applyFont="1" applyFill="1" applyBorder="1" applyAlignment="1">
      <alignment horizontal="left" vertical="center" wrapText="1"/>
    </xf>
    <xf numFmtId="195" fontId="11" fillId="0" borderId="4" xfId="0" applyNumberFormat="1" applyFont="1" applyFill="1" applyBorder="1" applyAlignment="1">
      <alignment horizontal="center" vertical="center" wrapText="1"/>
    </xf>
    <xf numFmtId="195" fontId="11" fillId="41" borderId="4" xfId="0" applyNumberFormat="1" applyFont="1" applyFill="1" applyBorder="1" applyAlignment="1">
      <alignment horizontal="center" vertical="center" wrapText="1"/>
    </xf>
    <xf numFmtId="195" fontId="11" fillId="0" borderId="0" xfId="0" applyNumberFormat="1" applyFont="1" applyFill="1" applyAlignment="1">
      <alignment vertical="center"/>
    </xf>
    <xf numFmtId="195" fontId="10" fillId="0" borderId="16" xfId="0" applyNumberFormat="1" applyFont="1" applyFill="1" applyBorder="1" applyAlignment="1">
      <alignment horizontal="center" vertical="center" wrapText="1"/>
    </xf>
    <xf numFmtId="49" fontId="10" fillId="0" borderId="0" xfId="71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21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для вывода показателей" xfId="48"/>
    <cellStyle name="для вывода строк" xfId="49"/>
    <cellStyle name="Заголовки полей" xfId="50"/>
    <cellStyle name="Заголовки полей [печать]" xfId="51"/>
    <cellStyle name="Заголовки полей_МБТ2 2006-2010" xfId="52"/>
    <cellStyle name="Заголовок 1" xfId="53"/>
    <cellStyle name="Заголовок 2" xfId="54"/>
    <cellStyle name="Заголовок 3" xfId="55"/>
    <cellStyle name="Заголовок 4" xfId="56"/>
    <cellStyle name="Заголовок меры" xfId="57"/>
    <cellStyle name="Заголовок показателя [печать]" xfId="58"/>
    <cellStyle name="Заголовок показателя константы" xfId="59"/>
    <cellStyle name="Заголовок результата расчета" xfId="60"/>
    <cellStyle name="Заголовок свободного показателя" xfId="61"/>
    <cellStyle name="Значение фильтра" xfId="62"/>
    <cellStyle name="Значение фильтра [печать]" xfId="63"/>
    <cellStyle name="Значение фильтра_МБТ2 2006-2010" xfId="64"/>
    <cellStyle name="Информация о задаче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Доходы2007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- константа_МБТ2 2006-2010" xfId="75"/>
    <cellStyle name="Отдельная ячейка [печать]" xfId="76"/>
    <cellStyle name="Отдельная ячейка_МБТ2 2006-2010" xfId="77"/>
    <cellStyle name="Отдельная ячейка-результат" xfId="78"/>
    <cellStyle name="Отдельная ячейка-результат [печать]" xfId="79"/>
    <cellStyle name="Отдельная ячейка-результат_МБТ2 2006-2010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ойства элементов измерения" xfId="86"/>
    <cellStyle name="Свойства элементов измерения [печать]" xfId="87"/>
    <cellStyle name="Свойства элементов измерения_МБТ2 2006-2010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  <cellStyle name="Элементы осей" xfId="94"/>
    <cellStyle name="Элементы осей [печать]" xfId="95"/>
    <cellStyle name="Элементы осей_МБТ2 2006-2010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\Home\&#1045;&#1078;&#1077;&#1084;&#1077;&#1089;%20&#1092;&#1086;&#1088;&#1084;&#1099;\2004\&#1060;&#1086;&#1088;&#1084;&#1072;%20&#8470;9(&#1077;&#1078;&#1077;&#1084;&#1077;&#1089;&#1103;&#1095;&#1085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"/>
      <sheetName val="сент"/>
      <sheetName val="окт"/>
      <sheetName val="ноябрь"/>
      <sheetName val="декабрь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view="pageBreakPreview" zoomScale="65" zoomScaleNormal="75" zoomScaleSheetLayoutView="6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4" sqref="T4"/>
    </sheetView>
  </sheetViews>
  <sheetFormatPr defaultColWidth="9.33203125" defaultRowHeight="12.75"/>
  <cols>
    <col min="1" max="1" width="9.83203125" style="25" customWidth="1"/>
    <col min="2" max="2" width="71.33203125" style="28" customWidth="1"/>
    <col min="3" max="3" width="32.5" style="26" customWidth="1"/>
    <col min="4" max="4" width="28.83203125" style="26" hidden="1" customWidth="1"/>
    <col min="5" max="5" width="27.83203125" style="26" hidden="1" customWidth="1"/>
    <col min="6" max="6" width="30.33203125" style="48" customWidth="1"/>
    <col min="7" max="7" width="36.16015625" style="26" hidden="1" customWidth="1"/>
    <col min="8" max="8" width="27.83203125" style="26" hidden="1" customWidth="1"/>
    <col min="9" max="9" width="22.5" style="28" hidden="1" customWidth="1"/>
    <col min="10" max="10" width="34.5" style="28" customWidth="1"/>
    <col min="11" max="11" width="33.33203125" style="26" hidden="1" customWidth="1"/>
    <col min="12" max="12" width="30.66015625" style="28" customWidth="1"/>
    <col min="13" max="13" width="31.83203125" style="28" hidden="1" customWidth="1"/>
    <col min="14" max="14" width="31.16015625" style="28" customWidth="1"/>
    <col min="15" max="15" width="29.5" style="18" customWidth="1"/>
    <col min="16" max="16" width="29.33203125" style="18" customWidth="1"/>
    <col min="17" max="17" width="31.66015625" style="18" customWidth="1"/>
    <col min="18" max="18" width="31.5" style="18" customWidth="1"/>
    <col min="19" max="19" width="31.83203125" style="18" customWidth="1"/>
    <col min="20" max="20" width="32.33203125" style="18" customWidth="1"/>
    <col min="21" max="16384" width="9.33203125" style="18" customWidth="1"/>
  </cols>
  <sheetData>
    <row r="1" spans="1:14" ht="20.25">
      <c r="A1" s="13"/>
      <c r="B1" s="14"/>
      <c r="C1" s="15"/>
      <c r="D1" s="15"/>
      <c r="E1" s="15"/>
      <c r="F1" s="43"/>
      <c r="G1" s="15"/>
      <c r="H1" s="15"/>
      <c r="I1" s="16"/>
      <c r="J1" s="16"/>
      <c r="K1" s="15"/>
      <c r="L1" s="16"/>
      <c r="M1" s="16"/>
      <c r="N1" s="17"/>
    </row>
    <row r="2" spans="1:14" ht="27.75" customHeight="1">
      <c r="A2" s="13"/>
      <c r="B2" s="16"/>
      <c r="C2" s="15"/>
      <c r="D2" s="15"/>
      <c r="E2" s="15"/>
      <c r="F2" s="43"/>
      <c r="G2" s="15"/>
      <c r="H2" s="59"/>
      <c r="I2" s="59"/>
      <c r="J2" s="59"/>
      <c r="K2" s="59"/>
      <c r="L2" s="59"/>
      <c r="M2" s="59"/>
      <c r="N2" s="51"/>
    </row>
    <row r="3" spans="1:20" ht="64.5" customHeight="1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8.75" customHeight="1">
      <c r="A4" s="19"/>
      <c r="B4" s="20"/>
      <c r="C4" s="21"/>
      <c r="D4" s="21"/>
      <c r="E4" s="21"/>
      <c r="F4" s="44"/>
      <c r="G4" s="21"/>
      <c r="H4" s="21"/>
      <c r="I4" s="20"/>
      <c r="J4" s="20"/>
      <c r="K4" s="21"/>
      <c r="L4" s="20"/>
      <c r="M4" s="20"/>
      <c r="N4" s="16"/>
      <c r="T4" s="62" t="s">
        <v>63</v>
      </c>
    </row>
    <row r="5" spans="1:20" s="22" customFormat="1" ht="156.75" customHeight="1" thickBot="1">
      <c r="A5" s="2" t="s">
        <v>29</v>
      </c>
      <c r="B5" s="3" t="s">
        <v>0</v>
      </c>
      <c r="C5" s="11" t="s">
        <v>39</v>
      </c>
      <c r="D5" s="12" t="s">
        <v>52</v>
      </c>
      <c r="E5" s="11" t="s">
        <v>40</v>
      </c>
      <c r="F5" s="45" t="s">
        <v>41</v>
      </c>
      <c r="G5" s="12" t="s">
        <v>42</v>
      </c>
      <c r="H5" s="11" t="s">
        <v>43</v>
      </c>
      <c r="I5" s="4" t="s">
        <v>44</v>
      </c>
      <c r="J5" s="12" t="s">
        <v>36</v>
      </c>
      <c r="K5" s="12" t="s">
        <v>45</v>
      </c>
      <c r="L5" s="12" t="s">
        <v>37</v>
      </c>
      <c r="M5" s="12" t="s">
        <v>46</v>
      </c>
      <c r="N5" s="49" t="s">
        <v>47</v>
      </c>
      <c r="O5" s="49" t="s">
        <v>57</v>
      </c>
      <c r="P5" s="49" t="s">
        <v>58</v>
      </c>
      <c r="Q5" s="49" t="s">
        <v>59</v>
      </c>
      <c r="R5" s="49" t="s">
        <v>60</v>
      </c>
      <c r="S5" s="49" t="s">
        <v>61</v>
      </c>
      <c r="T5" s="49" t="s">
        <v>62</v>
      </c>
    </row>
    <row r="6" spans="1:20" s="39" customFormat="1" ht="19.5" customHeight="1">
      <c r="A6" s="35">
        <v>1</v>
      </c>
      <c r="B6" s="35">
        <v>2</v>
      </c>
      <c r="C6" s="36" t="s">
        <v>48</v>
      </c>
      <c r="D6" s="37">
        <v>4</v>
      </c>
      <c r="E6" s="36" t="s">
        <v>49</v>
      </c>
      <c r="F6" s="46" t="s">
        <v>56</v>
      </c>
      <c r="G6" s="36" t="s">
        <v>33</v>
      </c>
      <c r="H6" s="36" t="s">
        <v>38</v>
      </c>
      <c r="I6" s="38">
        <v>11</v>
      </c>
      <c r="J6" s="52">
        <v>5</v>
      </c>
      <c r="K6" s="52">
        <v>9</v>
      </c>
      <c r="L6" s="52">
        <v>6</v>
      </c>
      <c r="M6" s="52">
        <v>11</v>
      </c>
      <c r="N6" s="52">
        <v>7</v>
      </c>
      <c r="O6" s="52"/>
      <c r="P6" s="52"/>
      <c r="Q6" s="52"/>
      <c r="R6" s="52"/>
      <c r="S6" s="52"/>
      <c r="T6" s="52"/>
    </row>
    <row r="7" spans="1:20" s="22" customFormat="1" ht="39.75" customHeight="1">
      <c r="A7" s="1">
        <v>1</v>
      </c>
      <c r="B7" s="5" t="s">
        <v>1</v>
      </c>
      <c r="C7" s="32">
        <f>C9+C31</f>
        <v>1213316.53184</v>
      </c>
      <c r="D7" s="32">
        <f>D9+D31</f>
        <v>1092995.6929</v>
      </c>
      <c r="E7" s="32">
        <f>D7-C7</f>
        <v>-120320.83894000016</v>
      </c>
      <c r="F7" s="33">
        <f>F9+F31</f>
        <v>1158733.81993</v>
      </c>
      <c r="G7" s="55">
        <f aca="true" t="shared" si="0" ref="G7:T7">SUM(G9+G31)</f>
        <v>965870.8884599999</v>
      </c>
      <c r="H7" s="55" t="e">
        <f t="shared" si="0"/>
        <v>#REF!</v>
      </c>
      <c r="I7" s="55" t="e">
        <f t="shared" si="0"/>
        <v>#REF!</v>
      </c>
      <c r="J7" s="33">
        <f t="shared" si="0"/>
        <v>1113925.36094</v>
      </c>
      <c r="K7" s="33">
        <f t="shared" si="0"/>
        <v>964689.84308</v>
      </c>
      <c r="L7" s="33">
        <f t="shared" si="0"/>
        <v>892348.98551</v>
      </c>
      <c r="M7" s="33">
        <f t="shared" si="0"/>
        <v>906160.4026500001</v>
      </c>
      <c r="N7" s="33">
        <f t="shared" si="0"/>
        <v>972970.97765</v>
      </c>
      <c r="O7" s="33">
        <f t="shared" si="0"/>
        <v>-73026.90109000007</v>
      </c>
      <c r="P7" s="33">
        <f t="shared" si="0"/>
        <v>-51511.04899000008</v>
      </c>
      <c r="Q7" s="33">
        <f t="shared" si="0"/>
        <v>-294603.27652</v>
      </c>
      <c r="R7" s="33">
        <f t="shared" si="0"/>
        <v>-273087.42442</v>
      </c>
      <c r="S7" s="33">
        <f t="shared" si="0"/>
        <v>-213981.28438000003</v>
      </c>
      <c r="T7" s="33">
        <f t="shared" si="0"/>
        <v>-192465.43228000004</v>
      </c>
    </row>
    <row r="8" spans="1:20" ht="20.25">
      <c r="A8" s="1">
        <v>2</v>
      </c>
      <c r="B8" s="6" t="s">
        <v>3</v>
      </c>
      <c r="C8" s="41"/>
      <c r="D8" s="41"/>
      <c r="E8" s="41"/>
      <c r="F8" s="40"/>
      <c r="G8" s="53"/>
      <c r="H8" s="32"/>
      <c r="I8" s="23"/>
      <c r="J8" s="41"/>
      <c r="K8" s="41"/>
      <c r="L8" s="41"/>
      <c r="M8" s="53"/>
      <c r="N8" s="41"/>
      <c r="O8" s="41"/>
      <c r="P8" s="41"/>
      <c r="Q8" s="41"/>
      <c r="R8" s="41"/>
      <c r="S8" s="41"/>
      <c r="T8" s="41"/>
    </row>
    <row r="9" spans="1:20" s="57" customFormat="1" ht="39.75" customHeight="1">
      <c r="A9" s="53" t="s">
        <v>53</v>
      </c>
      <c r="B9" s="54" t="s">
        <v>6</v>
      </c>
      <c r="C9" s="55">
        <f>C11+C19</f>
        <v>390167.31146999996</v>
      </c>
      <c r="D9" s="55">
        <f>D11+D19</f>
        <v>422026.62535</v>
      </c>
      <c r="E9" s="55">
        <f aca="true" t="shared" si="1" ref="E9:E44">D9-C9</f>
        <v>31859.31388000003</v>
      </c>
      <c r="F9" s="56">
        <f aca="true" t="shared" si="2" ref="F9:T9">F11+F19</f>
        <v>434515.55828</v>
      </c>
      <c r="G9" s="55">
        <f t="shared" si="2"/>
        <v>425774.91244</v>
      </c>
      <c r="H9" s="55" t="e">
        <f t="shared" si="2"/>
        <v>#REF!</v>
      </c>
      <c r="I9" s="55" t="e">
        <f t="shared" si="2"/>
        <v>#REF!</v>
      </c>
      <c r="J9" s="55">
        <f t="shared" si="2"/>
        <v>425781.91244</v>
      </c>
      <c r="K9" s="55">
        <f t="shared" si="2"/>
        <v>441410.51051</v>
      </c>
      <c r="L9" s="55">
        <f t="shared" si="2"/>
        <v>441911.07051</v>
      </c>
      <c r="M9" s="55">
        <f t="shared" si="2"/>
        <v>454369.90265</v>
      </c>
      <c r="N9" s="55">
        <f t="shared" si="2"/>
        <v>454869.46265</v>
      </c>
      <c r="O9" s="55">
        <f t="shared" si="2"/>
        <v>35614.600970000014</v>
      </c>
      <c r="P9" s="55">
        <f t="shared" si="2"/>
        <v>-15436.235840000023</v>
      </c>
      <c r="Q9" s="55">
        <f t="shared" si="2"/>
        <v>51743.75904</v>
      </c>
      <c r="R9" s="55">
        <f t="shared" si="2"/>
        <v>692.9222299999528</v>
      </c>
      <c r="S9" s="55">
        <f t="shared" si="2"/>
        <v>64702.15118000004</v>
      </c>
      <c r="T9" s="55">
        <f t="shared" si="2"/>
        <v>13651.31437</v>
      </c>
    </row>
    <row r="10" spans="1:20" ht="17.25" customHeight="1">
      <c r="A10" s="1">
        <v>4</v>
      </c>
      <c r="B10" s="7" t="s">
        <v>2</v>
      </c>
      <c r="C10" s="41"/>
      <c r="D10" s="41"/>
      <c r="E10" s="41"/>
      <c r="F10" s="40"/>
      <c r="G10" s="53"/>
      <c r="H10" s="32"/>
      <c r="I10" s="23"/>
      <c r="J10" s="41"/>
      <c r="K10" s="41"/>
      <c r="L10" s="41"/>
      <c r="M10" s="53"/>
      <c r="N10" s="41"/>
      <c r="O10" s="41"/>
      <c r="P10" s="41"/>
      <c r="Q10" s="41"/>
      <c r="R10" s="41"/>
      <c r="S10" s="41"/>
      <c r="T10" s="41"/>
    </row>
    <row r="11" spans="1:20" s="22" customFormat="1" ht="39.75" customHeight="1">
      <c r="A11" s="1">
        <v>5</v>
      </c>
      <c r="B11" s="5" t="s">
        <v>26</v>
      </c>
      <c r="C11" s="32">
        <f>SUM(C12:C18)</f>
        <v>301717.00112</v>
      </c>
      <c r="D11" s="32">
        <f>SUM(D12:D18)</f>
        <v>339611.06219</v>
      </c>
      <c r="E11" s="32">
        <f>D11-C11</f>
        <v>37894.061070000054</v>
      </c>
      <c r="F11" s="33">
        <f>F12+F15+F16+F17+F18</f>
        <v>349100.71942000004</v>
      </c>
      <c r="G11" s="55">
        <f aca="true" t="shared" si="3" ref="G11:T11">SUM(G12:G18)</f>
        <v>357214.45</v>
      </c>
      <c r="H11" s="55" t="e">
        <f t="shared" si="3"/>
        <v>#REF!</v>
      </c>
      <c r="I11" s="55" t="e">
        <f t="shared" si="3"/>
        <v>#REF!</v>
      </c>
      <c r="J11" s="55">
        <f t="shared" si="3"/>
        <v>357214.45</v>
      </c>
      <c r="K11" s="32">
        <f t="shared" si="3"/>
        <v>374701.98</v>
      </c>
      <c r="L11" s="55">
        <f t="shared" si="3"/>
        <v>374701.98</v>
      </c>
      <c r="M11" s="55">
        <f t="shared" si="3"/>
        <v>387669.9</v>
      </c>
      <c r="N11" s="55">
        <f t="shared" si="3"/>
        <v>387669.9</v>
      </c>
      <c r="O11" s="55">
        <f t="shared" si="3"/>
        <v>55497.44888000001</v>
      </c>
      <c r="P11" s="55">
        <f t="shared" si="3"/>
        <v>1411.1405799999775</v>
      </c>
      <c r="Q11" s="55">
        <f t="shared" si="3"/>
        <v>72984.97888</v>
      </c>
      <c r="R11" s="55">
        <f t="shared" si="3"/>
        <v>18898.670579999954</v>
      </c>
      <c r="S11" s="55">
        <f t="shared" si="3"/>
        <v>85952.89888000004</v>
      </c>
      <c r="T11" s="55">
        <f t="shared" si="3"/>
        <v>31866.590580000004</v>
      </c>
    </row>
    <row r="12" spans="1:20" ht="42" customHeight="1">
      <c r="A12" s="1">
        <v>6</v>
      </c>
      <c r="B12" s="8" t="s">
        <v>8</v>
      </c>
      <c r="C12" s="41">
        <v>273119.76489</v>
      </c>
      <c r="D12" s="41">
        <v>298964.74</v>
      </c>
      <c r="E12" s="41">
        <f t="shared" si="1"/>
        <v>25844.97511</v>
      </c>
      <c r="F12" s="40">
        <v>314266.85577</v>
      </c>
      <c r="G12" s="53">
        <v>326859.75</v>
      </c>
      <c r="H12" s="32" t="e">
        <f>#REF!-F12</f>
        <v>#REF!</v>
      </c>
      <c r="I12" s="23" t="e">
        <f>#REF!/F12</f>
        <v>#REF!</v>
      </c>
      <c r="J12" s="41">
        <f aca="true" t="shared" si="4" ref="J12:J18">G12</f>
        <v>326859.75</v>
      </c>
      <c r="K12" s="41">
        <v>343009.29</v>
      </c>
      <c r="L12" s="41">
        <f aca="true" t="shared" si="5" ref="L12:L18">K12</f>
        <v>343009.29</v>
      </c>
      <c r="M12" s="53">
        <v>356574.9</v>
      </c>
      <c r="N12" s="41">
        <f>M12</f>
        <v>356574.9</v>
      </c>
      <c r="O12" s="41">
        <f>J12-C12</f>
        <v>53739.98511000001</v>
      </c>
      <c r="P12" s="41">
        <f>J12-F12</f>
        <v>12592.894229999976</v>
      </c>
      <c r="Q12" s="41">
        <f>L12-C12</f>
        <v>69889.52510999999</v>
      </c>
      <c r="R12" s="41">
        <f>L12-F12</f>
        <v>28742.434229999955</v>
      </c>
      <c r="S12" s="41">
        <f>N12-C12</f>
        <v>83455.13511000003</v>
      </c>
      <c r="T12" s="41">
        <f>N12-F12</f>
        <v>42308.04423</v>
      </c>
    </row>
    <row r="13" spans="1:20" ht="42" customHeight="1">
      <c r="A13" s="1">
        <v>7</v>
      </c>
      <c r="B13" s="8" t="s">
        <v>50</v>
      </c>
      <c r="C13" s="41">
        <v>0</v>
      </c>
      <c r="D13" s="41">
        <v>702.59</v>
      </c>
      <c r="E13" s="41">
        <f t="shared" si="1"/>
        <v>702.59</v>
      </c>
      <c r="F13" s="40">
        <f>D13</f>
        <v>702.59</v>
      </c>
      <c r="G13" s="53">
        <v>675.7</v>
      </c>
      <c r="H13" s="32" t="e">
        <f>#REF!-F13</f>
        <v>#REF!</v>
      </c>
      <c r="I13" s="23" t="e">
        <f>#REF!/F13</f>
        <v>#REF!</v>
      </c>
      <c r="J13" s="41">
        <f t="shared" si="4"/>
        <v>675.7</v>
      </c>
      <c r="K13" s="41">
        <v>684.69</v>
      </c>
      <c r="L13" s="41">
        <f t="shared" si="5"/>
        <v>684.69</v>
      </c>
      <c r="M13" s="53">
        <v>0</v>
      </c>
      <c r="N13" s="41">
        <f aca="true" t="shared" si="6" ref="N13:N18">M13</f>
        <v>0</v>
      </c>
      <c r="O13" s="41">
        <f aca="true" t="shared" si="7" ref="O13:O44">J13-C13</f>
        <v>675.7</v>
      </c>
      <c r="P13" s="41">
        <f aca="true" t="shared" si="8" ref="P13:P44">J13-F13</f>
        <v>-26.889999999999986</v>
      </c>
      <c r="Q13" s="41">
        <f aca="true" t="shared" si="9" ref="Q13:Q44">L13-C13</f>
        <v>684.69</v>
      </c>
      <c r="R13" s="41">
        <f aca="true" t="shared" si="10" ref="R13:R44">L13-F13</f>
        <v>-17.899999999999977</v>
      </c>
      <c r="S13" s="41">
        <f aca="true" t="shared" si="11" ref="S13:S44">N13-C13</f>
        <v>0</v>
      </c>
      <c r="T13" s="41">
        <f aca="true" t="shared" si="12" ref="T13:T44">N13-F13</f>
        <v>-702.59</v>
      </c>
    </row>
    <row r="14" spans="1:20" ht="42" customHeight="1">
      <c r="A14" s="1">
        <v>8</v>
      </c>
      <c r="B14" s="8" t="s">
        <v>51</v>
      </c>
      <c r="C14" s="41">
        <v>0</v>
      </c>
      <c r="D14" s="41">
        <v>5094</v>
      </c>
      <c r="E14" s="41">
        <f>D14-C14</f>
        <v>5094</v>
      </c>
      <c r="F14" s="40">
        <v>6000</v>
      </c>
      <c r="G14" s="53">
        <v>4538</v>
      </c>
      <c r="H14" s="32" t="e">
        <f>#REF!-F14</f>
        <v>#REF!</v>
      </c>
      <c r="I14" s="23" t="e">
        <f>#REF!/F14</f>
        <v>#REF!</v>
      </c>
      <c r="J14" s="41">
        <f t="shared" si="4"/>
        <v>4538</v>
      </c>
      <c r="K14" s="41">
        <v>4760</v>
      </c>
      <c r="L14" s="41">
        <f t="shared" si="5"/>
        <v>4760</v>
      </c>
      <c r="M14" s="53">
        <v>4760</v>
      </c>
      <c r="N14" s="41">
        <f t="shared" si="6"/>
        <v>4760</v>
      </c>
      <c r="O14" s="41">
        <f t="shared" si="7"/>
        <v>4538</v>
      </c>
      <c r="P14" s="41">
        <f t="shared" si="8"/>
        <v>-1462</v>
      </c>
      <c r="Q14" s="41">
        <f t="shared" si="9"/>
        <v>4760</v>
      </c>
      <c r="R14" s="41">
        <f t="shared" si="10"/>
        <v>-1240</v>
      </c>
      <c r="S14" s="41">
        <f t="shared" si="11"/>
        <v>4760</v>
      </c>
      <c r="T14" s="41">
        <f t="shared" si="12"/>
        <v>-1240</v>
      </c>
    </row>
    <row r="15" spans="1:20" ht="42" customHeight="1">
      <c r="A15" s="1">
        <v>9</v>
      </c>
      <c r="B15" s="8" t="s">
        <v>9</v>
      </c>
      <c r="C15" s="41">
        <v>4580.41734</v>
      </c>
      <c r="D15" s="41">
        <v>395</v>
      </c>
      <c r="E15" s="41">
        <f t="shared" si="1"/>
        <v>-4185.41734</v>
      </c>
      <c r="F15" s="40">
        <v>-150.89703</v>
      </c>
      <c r="G15" s="53">
        <v>0</v>
      </c>
      <c r="H15" s="32" t="e">
        <f>#REF!-F15</f>
        <v>#REF!</v>
      </c>
      <c r="I15" s="23" t="e">
        <f>#REF!/F15</f>
        <v>#REF!</v>
      </c>
      <c r="J15" s="41">
        <f t="shared" si="4"/>
        <v>0</v>
      </c>
      <c r="K15" s="41">
        <v>0</v>
      </c>
      <c r="L15" s="41">
        <f t="shared" si="5"/>
        <v>0</v>
      </c>
      <c r="M15" s="53">
        <v>0</v>
      </c>
      <c r="N15" s="41">
        <f t="shared" si="6"/>
        <v>0</v>
      </c>
      <c r="O15" s="41">
        <f t="shared" si="7"/>
        <v>-4580.41734</v>
      </c>
      <c r="P15" s="41">
        <f t="shared" si="8"/>
        <v>150.89703</v>
      </c>
      <c r="Q15" s="41">
        <f t="shared" si="9"/>
        <v>-4580.41734</v>
      </c>
      <c r="R15" s="41">
        <f t="shared" si="10"/>
        <v>150.89703</v>
      </c>
      <c r="S15" s="41">
        <f t="shared" si="11"/>
        <v>-4580.41734</v>
      </c>
      <c r="T15" s="41">
        <f t="shared" si="12"/>
        <v>150.89703</v>
      </c>
    </row>
    <row r="16" spans="1:20" ht="42" customHeight="1">
      <c r="A16" s="1">
        <v>10</v>
      </c>
      <c r="B16" s="8" t="s">
        <v>10</v>
      </c>
      <c r="C16" s="41">
        <v>14883.91051</v>
      </c>
      <c r="D16" s="41">
        <v>25128.73219</v>
      </c>
      <c r="E16" s="41">
        <f t="shared" si="1"/>
        <v>10244.82168</v>
      </c>
      <c r="F16" s="40">
        <v>25128.76068</v>
      </c>
      <c r="G16" s="53">
        <v>15706</v>
      </c>
      <c r="H16" s="32" t="e">
        <f>#REF!-F16</f>
        <v>#REF!</v>
      </c>
      <c r="I16" s="23" t="e">
        <f>#REF!/F16</f>
        <v>#REF!</v>
      </c>
      <c r="J16" s="41">
        <f t="shared" si="4"/>
        <v>15706</v>
      </c>
      <c r="K16" s="41">
        <v>16475</v>
      </c>
      <c r="L16" s="41">
        <f t="shared" si="5"/>
        <v>16475</v>
      </c>
      <c r="M16" s="53">
        <v>16475</v>
      </c>
      <c r="N16" s="41">
        <f t="shared" si="6"/>
        <v>16475</v>
      </c>
      <c r="O16" s="41">
        <f t="shared" si="7"/>
        <v>822.0894900000003</v>
      </c>
      <c r="P16" s="41">
        <f t="shared" si="8"/>
        <v>-9422.76068</v>
      </c>
      <c r="Q16" s="41">
        <f t="shared" si="9"/>
        <v>1591.0894900000003</v>
      </c>
      <c r="R16" s="41">
        <f t="shared" si="10"/>
        <v>-8653.76068</v>
      </c>
      <c r="S16" s="41">
        <f t="shared" si="11"/>
        <v>1591.0894900000003</v>
      </c>
      <c r="T16" s="41">
        <f t="shared" si="12"/>
        <v>-8653.76068</v>
      </c>
    </row>
    <row r="17" spans="1:20" ht="42" customHeight="1">
      <c r="A17" s="1">
        <v>11</v>
      </c>
      <c r="B17" s="8" t="s">
        <v>11</v>
      </c>
      <c r="C17" s="41">
        <v>3951.61545</v>
      </c>
      <c r="D17" s="41">
        <v>3970</v>
      </c>
      <c r="E17" s="41">
        <f t="shared" si="1"/>
        <v>18.384550000000218</v>
      </c>
      <c r="F17" s="40">
        <v>4500</v>
      </c>
      <c r="G17" s="53">
        <v>4330</v>
      </c>
      <c r="H17" s="32" t="e">
        <f>#REF!-F17</f>
        <v>#REF!</v>
      </c>
      <c r="I17" s="23" t="e">
        <f>#REF!/F17</f>
        <v>#REF!</v>
      </c>
      <c r="J17" s="41">
        <f t="shared" si="4"/>
        <v>4330</v>
      </c>
      <c r="K17" s="41">
        <v>4513</v>
      </c>
      <c r="L17" s="41">
        <f t="shared" si="5"/>
        <v>4513</v>
      </c>
      <c r="M17" s="53">
        <v>4568</v>
      </c>
      <c r="N17" s="41">
        <f t="shared" si="6"/>
        <v>4568</v>
      </c>
      <c r="O17" s="41">
        <f t="shared" si="7"/>
        <v>378.3845500000002</v>
      </c>
      <c r="P17" s="41">
        <f t="shared" si="8"/>
        <v>-170</v>
      </c>
      <c r="Q17" s="41">
        <f t="shared" si="9"/>
        <v>561.3845500000002</v>
      </c>
      <c r="R17" s="41">
        <f t="shared" si="10"/>
        <v>13</v>
      </c>
      <c r="S17" s="41">
        <f t="shared" si="11"/>
        <v>616.3845500000002</v>
      </c>
      <c r="T17" s="41">
        <f t="shared" si="12"/>
        <v>68</v>
      </c>
    </row>
    <row r="18" spans="1:20" ht="42" customHeight="1">
      <c r="A18" s="1">
        <v>12</v>
      </c>
      <c r="B18" s="8" t="s">
        <v>12</v>
      </c>
      <c r="C18" s="41">
        <v>5181.29293</v>
      </c>
      <c r="D18" s="41">
        <v>5356</v>
      </c>
      <c r="E18" s="41">
        <f t="shared" si="1"/>
        <v>174.70707000000039</v>
      </c>
      <c r="F18" s="40">
        <f>D18</f>
        <v>5356</v>
      </c>
      <c r="G18" s="53">
        <v>5105</v>
      </c>
      <c r="H18" s="32" t="e">
        <f>#REF!-F18</f>
        <v>#REF!</v>
      </c>
      <c r="I18" s="23" t="e">
        <f>#REF!/F18</f>
        <v>#REF!</v>
      </c>
      <c r="J18" s="41">
        <f t="shared" si="4"/>
        <v>5105</v>
      </c>
      <c r="K18" s="41">
        <v>5260</v>
      </c>
      <c r="L18" s="41">
        <f t="shared" si="5"/>
        <v>5260</v>
      </c>
      <c r="M18" s="53">
        <v>5292</v>
      </c>
      <c r="N18" s="41">
        <f t="shared" si="6"/>
        <v>5292</v>
      </c>
      <c r="O18" s="41">
        <f t="shared" si="7"/>
        <v>-76.29292999999961</v>
      </c>
      <c r="P18" s="41">
        <f t="shared" si="8"/>
        <v>-251</v>
      </c>
      <c r="Q18" s="41">
        <f t="shared" si="9"/>
        <v>78.70707000000039</v>
      </c>
      <c r="R18" s="41">
        <f t="shared" si="10"/>
        <v>-96</v>
      </c>
      <c r="S18" s="41">
        <f t="shared" si="11"/>
        <v>110.70707000000039</v>
      </c>
      <c r="T18" s="41">
        <f t="shared" si="12"/>
        <v>-64</v>
      </c>
    </row>
    <row r="19" spans="1:20" s="22" customFormat="1" ht="42" customHeight="1">
      <c r="A19" s="1">
        <v>11</v>
      </c>
      <c r="B19" s="5" t="s">
        <v>25</v>
      </c>
      <c r="C19" s="32">
        <f>SUM(C20:C30)</f>
        <v>88450.31034999999</v>
      </c>
      <c r="D19" s="32">
        <f>SUM(D21:D30)</f>
        <v>82415.56315999999</v>
      </c>
      <c r="E19" s="32">
        <f t="shared" si="1"/>
        <v>-6034.747189999995</v>
      </c>
      <c r="F19" s="33">
        <f>F20+F21+F22+F23+F24+F25+F26+F27+F28+F29+F30</f>
        <v>85414.83885999999</v>
      </c>
      <c r="G19" s="55">
        <f aca="true" t="shared" si="13" ref="G19:T19">SUM(G20:G30)</f>
        <v>68560.46244</v>
      </c>
      <c r="H19" s="55" t="e">
        <f t="shared" si="13"/>
        <v>#REF!</v>
      </c>
      <c r="I19" s="55" t="e">
        <f t="shared" si="13"/>
        <v>#REF!</v>
      </c>
      <c r="J19" s="55">
        <f t="shared" si="13"/>
        <v>68567.46244</v>
      </c>
      <c r="K19" s="32">
        <f t="shared" si="13"/>
        <v>66708.53051</v>
      </c>
      <c r="L19" s="55">
        <f t="shared" si="13"/>
        <v>67209.09051</v>
      </c>
      <c r="M19" s="55">
        <f t="shared" si="13"/>
        <v>66700.00265</v>
      </c>
      <c r="N19" s="55">
        <f t="shared" si="13"/>
        <v>67199.56264999999</v>
      </c>
      <c r="O19" s="55">
        <f t="shared" si="13"/>
        <v>-19882.84791</v>
      </c>
      <c r="P19" s="55">
        <f t="shared" si="13"/>
        <v>-16847.37642</v>
      </c>
      <c r="Q19" s="55">
        <f t="shared" si="13"/>
        <v>-21241.219839999998</v>
      </c>
      <c r="R19" s="55">
        <f t="shared" si="13"/>
        <v>-18205.74835</v>
      </c>
      <c r="S19" s="55">
        <f t="shared" si="13"/>
        <v>-21250.7477</v>
      </c>
      <c r="T19" s="55">
        <f t="shared" si="13"/>
        <v>-18215.276210000004</v>
      </c>
    </row>
    <row r="20" spans="1:20" ht="42" customHeight="1">
      <c r="A20" s="1">
        <v>12</v>
      </c>
      <c r="B20" s="8" t="s">
        <v>54</v>
      </c>
      <c r="C20" s="41">
        <v>0</v>
      </c>
      <c r="D20" s="41">
        <v>0</v>
      </c>
      <c r="E20" s="41">
        <f t="shared" si="1"/>
        <v>0</v>
      </c>
      <c r="F20" s="40">
        <v>0</v>
      </c>
      <c r="G20" s="53">
        <v>2.32</v>
      </c>
      <c r="H20" s="32" t="e">
        <f>#REF!-F20</f>
        <v>#REF!</v>
      </c>
      <c r="I20" s="23">
        <v>0</v>
      </c>
      <c r="J20" s="50">
        <f>G20</f>
        <v>2.32</v>
      </c>
      <c r="K20" s="41">
        <v>2.32</v>
      </c>
      <c r="L20" s="41">
        <f>K20</f>
        <v>2.32</v>
      </c>
      <c r="M20" s="53">
        <v>1.11868</v>
      </c>
      <c r="N20" s="41">
        <f>M20</f>
        <v>1.11868</v>
      </c>
      <c r="O20" s="41">
        <f t="shared" si="7"/>
        <v>2.32</v>
      </c>
      <c r="P20" s="41">
        <f t="shared" si="8"/>
        <v>2.32</v>
      </c>
      <c r="Q20" s="41">
        <f t="shared" si="9"/>
        <v>2.32</v>
      </c>
      <c r="R20" s="41">
        <f t="shared" si="10"/>
        <v>2.32</v>
      </c>
      <c r="S20" s="41">
        <f t="shared" si="11"/>
        <v>1.11868</v>
      </c>
      <c r="T20" s="41">
        <f t="shared" si="12"/>
        <v>1.11868</v>
      </c>
    </row>
    <row r="21" spans="1:20" ht="42" customHeight="1">
      <c r="A21" s="1">
        <v>13</v>
      </c>
      <c r="B21" s="8" t="s">
        <v>13</v>
      </c>
      <c r="C21" s="41">
        <v>10883.80772</v>
      </c>
      <c r="D21" s="41">
        <v>10357.2652</v>
      </c>
      <c r="E21" s="41">
        <f t="shared" si="1"/>
        <v>-526.5425200000009</v>
      </c>
      <c r="F21" s="40">
        <f>10699.27679+175.1785</f>
        <v>10874.45529</v>
      </c>
      <c r="G21" s="53">
        <v>12520.98754</v>
      </c>
      <c r="H21" s="32" t="e">
        <f>#REF!-F21</f>
        <v>#REF!</v>
      </c>
      <c r="I21" s="23" t="e">
        <f>#REF!/F21</f>
        <v>#REF!</v>
      </c>
      <c r="J21" s="50">
        <f aca="true" t="shared" si="14" ref="J21:J30">G21</f>
        <v>12520.98754</v>
      </c>
      <c r="K21" s="41">
        <v>12520.98754</v>
      </c>
      <c r="L21" s="41">
        <f>K21</f>
        <v>12520.98754</v>
      </c>
      <c r="M21" s="53">
        <f>K21</f>
        <v>12520.98754</v>
      </c>
      <c r="N21" s="41">
        <f aca="true" t="shared" si="15" ref="N21:N30">M21</f>
        <v>12520.98754</v>
      </c>
      <c r="O21" s="41">
        <f t="shared" si="7"/>
        <v>1637.1798199999994</v>
      </c>
      <c r="P21" s="41">
        <f t="shared" si="8"/>
        <v>1646.5322500000002</v>
      </c>
      <c r="Q21" s="41">
        <f t="shared" si="9"/>
        <v>1637.1798199999994</v>
      </c>
      <c r="R21" s="41">
        <f t="shared" si="10"/>
        <v>1646.5322500000002</v>
      </c>
      <c r="S21" s="41">
        <f t="shared" si="11"/>
        <v>1637.1798199999994</v>
      </c>
      <c r="T21" s="41">
        <f t="shared" si="12"/>
        <v>1646.5322500000002</v>
      </c>
    </row>
    <row r="22" spans="1:20" ht="51" customHeight="1">
      <c r="A22" s="1">
        <v>14</v>
      </c>
      <c r="B22" s="8" t="s">
        <v>14</v>
      </c>
      <c r="C22" s="41">
        <v>5029.60859</v>
      </c>
      <c r="D22" s="41">
        <v>4219.11439</v>
      </c>
      <c r="E22" s="41">
        <f t="shared" si="1"/>
        <v>-810.4942000000001</v>
      </c>
      <c r="F22" s="40">
        <f>328.206+3890.90839</f>
        <v>4219.11439</v>
      </c>
      <c r="G22" s="53">
        <f>2928.27258+303.429-426.74196-290.03304+49.75+6.5</f>
        <v>2571.1765800000003</v>
      </c>
      <c r="H22" s="32" t="e">
        <f>#REF!-F22</f>
        <v>#REF!</v>
      </c>
      <c r="I22" s="23" t="e">
        <f>#REF!/F22</f>
        <v>#REF!</v>
      </c>
      <c r="J22" s="50">
        <f t="shared" si="14"/>
        <v>2571.1765800000003</v>
      </c>
      <c r="K22" s="41">
        <f>3098.628-426.74196-290.03304+49.75+6.5</f>
        <v>2438.103</v>
      </c>
      <c r="L22" s="41">
        <f>K22</f>
        <v>2438.103</v>
      </c>
      <c r="M22" s="53">
        <f>K22</f>
        <v>2438.103</v>
      </c>
      <c r="N22" s="41">
        <f t="shared" si="15"/>
        <v>2438.103</v>
      </c>
      <c r="O22" s="41">
        <f t="shared" si="7"/>
        <v>-2458.4320099999995</v>
      </c>
      <c r="P22" s="41">
        <f t="shared" si="8"/>
        <v>-1647.9378099999994</v>
      </c>
      <c r="Q22" s="41">
        <f t="shared" si="9"/>
        <v>-2591.5055899999998</v>
      </c>
      <c r="R22" s="41">
        <f t="shared" si="10"/>
        <v>-1781.0113899999997</v>
      </c>
      <c r="S22" s="41">
        <f t="shared" si="11"/>
        <v>-2591.5055899999998</v>
      </c>
      <c r="T22" s="41">
        <f t="shared" si="12"/>
        <v>-1781.0113899999997</v>
      </c>
    </row>
    <row r="23" spans="1:20" ht="42" customHeight="1">
      <c r="A23" s="1">
        <v>15</v>
      </c>
      <c r="B23" s="8" t="s">
        <v>15</v>
      </c>
      <c r="C23" s="41">
        <v>1344.05652</v>
      </c>
      <c r="D23" s="41">
        <v>3534.95543</v>
      </c>
      <c r="E23" s="41">
        <f t="shared" si="1"/>
        <v>2190.89891</v>
      </c>
      <c r="F23" s="40">
        <v>3534.95543</v>
      </c>
      <c r="G23" s="53">
        <f>45.52046+769.71362+25</f>
        <v>840.23408</v>
      </c>
      <c r="H23" s="32" t="e">
        <f>#REF!-F23</f>
        <v>#REF!</v>
      </c>
      <c r="I23" s="23" t="e">
        <f>#REF!/F23</f>
        <v>#REF!</v>
      </c>
      <c r="J23" s="50">
        <f t="shared" si="14"/>
        <v>840.23408</v>
      </c>
      <c r="K23" s="41">
        <v>825.18573</v>
      </c>
      <c r="L23" s="41">
        <f>K23</f>
        <v>825.18573</v>
      </c>
      <c r="M23" s="53">
        <f>18.14557+769.71362+25</f>
        <v>812.85919</v>
      </c>
      <c r="N23" s="41">
        <f t="shared" si="15"/>
        <v>812.85919</v>
      </c>
      <c r="O23" s="41">
        <f t="shared" si="7"/>
        <v>-503.82244000000014</v>
      </c>
      <c r="P23" s="41">
        <f t="shared" si="8"/>
        <v>-2694.72135</v>
      </c>
      <c r="Q23" s="41">
        <f t="shared" si="9"/>
        <v>-518.87079</v>
      </c>
      <c r="R23" s="41">
        <f t="shared" si="10"/>
        <v>-2709.7697</v>
      </c>
      <c r="S23" s="41">
        <f t="shared" si="11"/>
        <v>-531.1973300000001</v>
      </c>
      <c r="T23" s="41">
        <f t="shared" si="12"/>
        <v>-2722.09624</v>
      </c>
    </row>
    <row r="24" spans="1:20" ht="65.25" customHeight="1">
      <c r="A24" s="1">
        <v>16</v>
      </c>
      <c r="B24" s="8" t="s">
        <v>22</v>
      </c>
      <c r="C24" s="41">
        <v>4375.7611</v>
      </c>
      <c r="D24" s="41">
        <v>1560.87018</v>
      </c>
      <c r="E24" s="41">
        <f t="shared" si="1"/>
        <v>-2814.89092</v>
      </c>
      <c r="F24" s="40">
        <v>1911.69771</v>
      </c>
      <c r="G24" s="53">
        <f>1576.8+2.1</f>
        <v>1578.8999999999999</v>
      </c>
      <c r="H24" s="32" t="e">
        <f>#REF!-F24</f>
        <v>#REF!</v>
      </c>
      <c r="I24" s="23" t="e">
        <f>#REF!/F24</f>
        <v>#REF!</v>
      </c>
      <c r="J24" s="50">
        <f t="shared" si="14"/>
        <v>1578.8999999999999</v>
      </c>
      <c r="K24" s="50">
        <f>1576.8+2.1</f>
        <v>1578.8999999999999</v>
      </c>
      <c r="L24" s="41">
        <f>K24</f>
        <v>1578.8999999999999</v>
      </c>
      <c r="M24" s="53">
        <f>1576.8+2.1</f>
        <v>1578.8999999999999</v>
      </c>
      <c r="N24" s="41">
        <f t="shared" si="15"/>
        <v>1578.8999999999999</v>
      </c>
      <c r="O24" s="41">
        <f t="shared" si="7"/>
        <v>-2796.8611</v>
      </c>
      <c r="P24" s="41">
        <f t="shared" si="8"/>
        <v>-332.79771000000005</v>
      </c>
      <c r="Q24" s="41">
        <f t="shared" si="9"/>
        <v>-2796.8611</v>
      </c>
      <c r="R24" s="41">
        <f t="shared" si="10"/>
        <v>-332.79771000000005</v>
      </c>
      <c r="S24" s="41">
        <f t="shared" si="11"/>
        <v>-2796.8611</v>
      </c>
      <c r="T24" s="41">
        <f t="shared" si="12"/>
        <v>-332.79771000000005</v>
      </c>
    </row>
    <row r="25" spans="1:20" ht="47.25" customHeight="1">
      <c r="A25" s="1">
        <v>17</v>
      </c>
      <c r="B25" s="8" t="s">
        <v>16</v>
      </c>
      <c r="C25" s="41">
        <v>43050.20226</v>
      </c>
      <c r="D25" s="41">
        <v>48185.37956</v>
      </c>
      <c r="E25" s="41">
        <f t="shared" si="1"/>
        <v>5135.177300000003</v>
      </c>
      <c r="F25" s="40">
        <v>47000</v>
      </c>
      <c r="G25" s="53">
        <f>48460.35456+494.56</f>
        <v>48954.91456</v>
      </c>
      <c r="H25" s="32" t="e">
        <f>#REF!-F25</f>
        <v>#REF!</v>
      </c>
      <c r="I25" s="23" t="e">
        <f>#REF!/F25</f>
        <v>#REF!</v>
      </c>
      <c r="J25" s="50">
        <f t="shared" si="14"/>
        <v>48954.91456</v>
      </c>
      <c r="K25" s="41">
        <f>47246.10456</f>
        <v>47246.10456</v>
      </c>
      <c r="L25" s="41">
        <f>K25+494.56</f>
        <v>47740.66456</v>
      </c>
      <c r="M25" s="53">
        <f>47246.10456</f>
        <v>47246.10456</v>
      </c>
      <c r="N25" s="41">
        <f>M25+494.56</f>
        <v>47740.66456</v>
      </c>
      <c r="O25" s="41">
        <f t="shared" si="7"/>
        <v>5904.712299999999</v>
      </c>
      <c r="P25" s="41">
        <f t="shared" si="8"/>
        <v>1954.9145599999974</v>
      </c>
      <c r="Q25" s="41">
        <f t="shared" si="9"/>
        <v>4690.462299999999</v>
      </c>
      <c r="R25" s="41">
        <f t="shared" si="10"/>
        <v>740.6645599999974</v>
      </c>
      <c r="S25" s="41">
        <f t="shared" si="11"/>
        <v>4690.462299999999</v>
      </c>
      <c r="T25" s="41">
        <f t="shared" si="12"/>
        <v>740.6645599999974</v>
      </c>
    </row>
    <row r="26" spans="1:20" ht="41.25" customHeight="1">
      <c r="A26" s="1">
        <v>18</v>
      </c>
      <c r="B26" s="8" t="s">
        <v>17</v>
      </c>
      <c r="C26" s="41">
        <v>204.00758</v>
      </c>
      <c r="D26" s="41">
        <v>106.71038</v>
      </c>
      <c r="E26" s="41">
        <f t="shared" si="1"/>
        <v>-97.29719999999999</v>
      </c>
      <c r="F26" s="40">
        <v>674.61604</v>
      </c>
      <c r="G26" s="53">
        <v>0</v>
      </c>
      <c r="H26" s="32" t="e">
        <f>#REF!-F26</f>
        <v>#REF!</v>
      </c>
      <c r="I26" s="23" t="e">
        <f>#REF!/F26</f>
        <v>#REF!</v>
      </c>
      <c r="J26" s="41">
        <f t="shared" si="14"/>
        <v>0</v>
      </c>
      <c r="K26" s="41">
        <v>0</v>
      </c>
      <c r="L26" s="41">
        <f>K26</f>
        <v>0</v>
      </c>
      <c r="M26" s="53">
        <v>0</v>
      </c>
      <c r="N26" s="41">
        <f t="shared" si="15"/>
        <v>0</v>
      </c>
      <c r="O26" s="41">
        <f t="shared" si="7"/>
        <v>-204.00758</v>
      </c>
      <c r="P26" s="41">
        <f t="shared" si="8"/>
        <v>-674.61604</v>
      </c>
      <c r="Q26" s="41">
        <f t="shared" si="9"/>
        <v>-204.00758</v>
      </c>
      <c r="R26" s="41">
        <f t="shared" si="10"/>
        <v>-674.61604</v>
      </c>
      <c r="S26" s="41">
        <f t="shared" si="11"/>
        <v>-204.00758</v>
      </c>
      <c r="T26" s="41">
        <f t="shared" si="12"/>
        <v>-674.61604</v>
      </c>
    </row>
    <row r="27" spans="1:20" ht="41.25" customHeight="1">
      <c r="A27" s="1">
        <v>19</v>
      </c>
      <c r="B27" s="8" t="s">
        <v>23</v>
      </c>
      <c r="C27" s="41">
        <v>17063.25263</v>
      </c>
      <c r="D27" s="41">
        <v>7531.48748</v>
      </c>
      <c r="E27" s="41">
        <f t="shared" si="1"/>
        <v>-9531.76515</v>
      </c>
      <c r="F27" s="40">
        <v>7700</v>
      </c>
      <c r="G27" s="53">
        <v>600.35712</v>
      </c>
      <c r="H27" s="32" t="e">
        <f>#REF!-F27</f>
        <v>#REF!</v>
      </c>
      <c r="I27" s="23" t="e">
        <f>#REF!/F27</f>
        <v>#REF!</v>
      </c>
      <c r="J27" s="50">
        <f t="shared" si="14"/>
        <v>600.35712</v>
      </c>
      <c r="K27" s="41">
        <v>600.35712</v>
      </c>
      <c r="L27" s="41">
        <f>K27</f>
        <v>600.35712</v>
      </c>
      <c r="M27" s="53">
        <v>600.35712</v>
      </c>
      <c r="N27" s="41">
        <f t="shared" si="15"/>
        <v>600.35712</v>
      </c>
      <c r="O27" s="41">
        <f t="shared" si="7"/>
        <v>-16462.89551</v>
      </c>
      <c r="P27" s="41">
        <f t="shared" si="8"/>
        <v>-7099.64288</v>
      </c>
      <c r="Q27" s="41">
        <f t="shared" si="9"/>
        <v>-16462.89551</v>
      </c>
      <c r="R27" s="41">
        <f t="shared" si="10"/>
        <v>-7099.64288</v>
      </c>
      <c r="S27" s="41">
        <f t="shared" si="11"/>
        <v>-16462.89551</v>
      </c>
      <c r="T27" s="41">
        <f t="shared" si="12"/>
        <v>-7099.64288</v>
      </c>
    </row>
    <row r="28" spans="1:20" ht="41.25" customHeight="1">
      <c r="A28" s="1">
        <v>20</v>
      </c>
      <c r="B28" s="8" t="s">
        <v>24</v>
      </c>
      <c r="C28" s="41">
        <v>1876.82591</v>
      </c>
      <c r="D28" s="41">
        <v>4795.15212</v>
      </c>
      <c r="E28" s="41">
        <f t="shared" si="1"/>
        <v>2918.3262099999997</v>
      </c>
      <c r="F28" s="40">
        <v>6500</v>
      </c>
      <c r="G28" s="53">
        <v>0</v>
      </c>
      <c r="H28" s="32" t="e">
        <f>#REF!-F28</f>
        <v>#REF!</v>
      </c>
      <c r="I28" s="23" t="e">
        <f>#REF!/F28</f>
        <v>#REF!</v>
      </c>
      <c r="J28" s="41">
        <f t="shared" si="14"/>
        <v>0</v>
      </c>
      <c r="K28" s="41">
        <v>0</v>
      </c>
      <c r="L28" s="41">
        <f>K28</f>
        <v>0</v>
      </c>
      <c r="M28" s="53">
        <v>0</v>
      </c>
      <c r="N28" s="41">
        <f t="shared" si="15"/>
        <v>0</v>
      </c>
      <c r="O28" s="41">
        <f t="shared" si="7"/>
        <v>-1876.82591</v>
      </c>
      <c r="P28" s="41">
        <f t="shared" si="8"/>
        <v>-6500</v>
      </c>
      <c r="Q28" s="41">
        <f t="shared" si="9"/>
        <v>-1876.82591</v>
      </c>
      <c r="R28" s="41">
        <f t="shared" si="10"/>
        <v>-6500</v>
      </c>
      <c r="S28" s="41">
        <f t="shared" si="11"/>
        <v>-1876.82591</v>
      </c>
      <c r="T28" s="41">
        <f t="shared" si="12"/>
        <v>-6500</v>
      </c>
    </row>
    <row r="29" spans="1:20" ht="45.75" customHeight="1">
      <c r="A29" s="1">
        <v>21</v>
      </c>
      <c r="B29" s="8" t="s">
        <v>18</v>
      </c>
      <c r="C29" s="41">
        <v>4626.0871</v>
      </c>
      <c r="D29" s="41">
        <v>2124.62842</v>
      </c>
      <c r="E29" s="41">
        <f t="shared" si="1"/>
        <v>-2501.4586799999997</v>
      </c>
      <c r="F29" s="40">
        <v>3000</v>
      </c>
      <c r="G29" s="53">
        <f>1491.57256</f>
        <v>1491.57256</v>
      </c>
      <c r="H29" s="32" t="e">
        <f>#REF!-F29</f>
        <v>#REF!</v>
      </c>
      <c r="I29" s="23" t="e">
        <f>#REF!/F29</f>
        <v>#REF!</v>
      </c>
      <c r="J29" s="41">
        <f>G29+7</f>
        <v>1498.57256</v>
      </c>
      <c r="K29" s="41">
        <f>1496.57256</f>
        <v>1496.57256</v>
      </c>
      <c r="L29" s="41">
        <f>K29+6</f>
        <v>1502.57256</v>
      </c>
      <c r="M29" s="53">
        <f>1501.57256</f>
        <v>1501.57256</v>
      </c>
      <c r="N29" s="41">
        <f>M29+5</f>
        <v>1506.57256</v>
      </c>
      <c r="O29" s="41">
        <f t="shared" si="7"/>
        <v>-3127.5145399999997</v>
      </c>
      <c r="P29" s="41">
        <f t="shared" si="8"/>
        <v>-1501.42744</v>
      </c>
      <c r="Q29" s="41">
        <f t="shared" si="9"/>
        <v>-3123.5145399999997</v>
      </c>
      <c r="R29" s="41">
        <f t="shared" si="10"/>
        <v>-1497.42744</v>
      </c>
      <c r="S29" s="41">
        <f t="shared" si="11"/>
        <v>-3119.5145399999997</v>
      </c>
      <c r="T29" s="41">
        <f t="shared" si="12"/>
        <v>-1493.42744</v>
      </c>
    </row>
    <row r="30" spans="1:20" ht="41.25" customHeight="1">
      <c r="A30" s="1">
        <v>22</v>
      </c>
      <c r="B30" s="8" t="s">
        <v>19</v>
      </c>
      <c r="C30" s="41">
        <v>-3.29906</v>
      </c>
      <c r="D30" s="41">
        <v>0</v>
      </c>
      <c r="E30" s="41">
        <f t="shared" si="1"/>
        <v>3.29906</v>
      </c>
      <c r="F30" s="40">
        <v>0</v>
      </c>
      <c r="G30" s="53">
        <v>0</v>
      </c>
      <c r="H30" s="32" t="e">
        <f>#REF!-F30</f>
        <v>#REF!</v>
      </c>
      <c r="I30" s="23">
        <v>0</v>
      </c>
      <c r="J30" s="41">
        <f t="shared" si="14"/>
        <v>0</v>
      </c>
      <c r="K30" s="41">
        <v>0</v>
      </c>
      <c r="L30" s="41">
        <f>K30</f>
        <v>0</v>
      </c>
      <c r="M30" s="53">
        <v>0</v>
      </c>
      <c r="N30" s="41">
        <f t="shared" si="15"/>
        <v>0</v>
      </c>
      <c r="O30" s="41">
        <f t="shared" si="7"/>
        <v>3.29906</v>
      </c>
      <c r="P30" s="41">
        <f t="shared" si="8"/>
        <v>0</v>
      </c>
      <c r="Q30" s="41">
        <f t="shared" si="9"/>
        <v>3.29906</v>
      </c>
      <c r="R30" s="41">
        <f t="shared" si="10"/>
        <v>0</v>
      </c>
      <c r="S30" s="41">
        <f t="shared" si="11"/>
        <v>3.29906</v>
      </c>
      <c r="T30" s="41">
        <f t="shared" si="12"/>
        <v>0</v>
      </c>
    </row>
    <row r="31" spans="1:20" s="22" customFormat="1" ht="39.75" customHeight="1">
      <c r="A31" s="1">
        <v>23</v>
      </c>
      <c r="B31" s="5" t="s">
        <v>5</v>
      </c>
      <c r="C31" s="32">
        <f>C34+C36+C37+C40+C43+C44+C35+C33</f>
        <v>823149.2203700001</v>
      </c>
      <c r="D31" s="32">
        <f>D34+D36+D37+D40+D43+D44+D35+D33</f>
        <v>670969.0675499999</v>
      </c>
      <c r="E31" s="32">
        <f t="shared" si="1"/>
        <v>-152180.1528200002</v>
      </c>
      <c r="F31" s="33">
        <f>F34+F35+F36+F37+F40+F44+F43+F33</f>
        <v>724218.26165</v>
      </c>
      <c r="G31" s="55">
        <f>G34+G35+G36+G37+G40+G44+G43+G33</f>
        <v>540095.97602</v>
      </c>
      <c r="H31" s="55" t="e">
        <f>H34+H35+H36+H37+H40+H44+H43+H33</f>
        <v>#REF!</v>
      </c>
      <c r="I31" s="55" t="e">
        <f>I34+I35+I36+I37+I40+I44+I43+I33</f>
        <v>#REF!</v>
      </c>
      <c r="J31" s="55">
        <f>J34+J35+J36+J37+J40+J44+J43+J33</f>
        <v>688143.4484999999</v>
      </c>
      <c r="K31" s="32">
        <f>K34+K36+K37+K40+K43+K44</f>
        <v>523279.33256999997</v>
      </c>
      <c r="L31" s="55">
        <f>L34+L36+L37+L40+L43+L44</f>
        <v>450437.91500000004</v>
      </c>
      <c r="M31" s="55">
        <f>M34+M36+M37+M40+M43+M44</f>
        <v>451790.5</v>
      </c>
      <c r="N31" s="55">
        <f>N34+N36+N37+N40+N43+N44</f>
        <v>518101.51499999996</v>
      </c>
      <c r="O31" s="55">
        <f aca="true" t="shared" si="16" ref="O31:T31">O34+O36+O37+O40+O43+O44</f>
        <v>-108641.50206000009</v>
      </c>
      <c r="P31" s="55">
        <f t="shared" si="16"/>
        <v>-36074.81315000006</v>
      </c>
      <c r="Q31" s="55">
        <f t="shared" si="16"/>
        <v>-346347.03556</v>
      </c>
      <c r="R31" s="55">
        <f t="shared" si="16"/>
        <v>-273780.34664999996</v>
      </c>
      <c r="S31" s="55">
        <f t="shared" si="16"/>
        <v>-278683.43556000007</v>
      </c>
      <c r="T31" s="55">
        <f t="shared" si="16"/>
        <v>-206116.74665000004</v>
      </c>
    </row>
    <row r="32" spans="1:20" ht="26.25" customHeight="1">
      <c r="A32" s="1">
        <v>24</v>
      </c>
      <c r="B32" s="6" t="s">
        <v>3</v>
      </c>
      <c r="C32" s="41"/>
      <c r="D32" s="41"/>
      <c r="E32" s="41"/>
      <c r="F32" s="40"/>
      <c r="G32" s="53"/>
      <c r="H32" s="32"/>
      <c r="I32" s="23"/>
      <c r="J32" s="41"/>
      <c r="K32" s="41"/>
      <c r="L32" s="41"/>
      <c r="M32" s="53"/>
      <c r="N32" s="41"/>
      <c r="O32" s="41">
        <f t="shared" si="7"/>
        <v>0</v>
      </c>
      <c r="P32" s="41">
        <f t="shared" si="8"/>
        <v>0</v>
      </c>
      <c r="Q32" s="41">
        <f t="shared" si="9"/>
        <v>0</v>
      </c>
      <c r="R32" s="41">
        <f t="shared" si="10"/>
        <v>0</v>
      </c>
      <c r="S32" s="41">
        <f t="shared" si="11"/>
        <v>0</v>
      </c>
      <c r="T32" s="41">
        <f t="shared" si="12"/>
        <v>0</v>
      </c>
    </row>
    <row r="33" spans="1:20" ht="68.25" customHeight="1">
      <c r="A33" s="1">
        <v>25</v>
      </c>
      <c r="B33" s="6" t="s">
        <v>34</v>
      </c>
      <c r="C33" s="41">
        <v>2217.96981</v>
      </c>
      <c r="D33" s="41">
        <v>0</v>
      </c>
      <c r="E33" s="41"/>
      <c r="F33" s="40">
        <v>0</v>
      </c>
      <c r="G33" s="53">
        <v>0</v>
      </c>
      <c r="H33" s="32"/>
      <c r="I33" s="23"/>
      <c r="J33" s="41">
        <v>0</v>
      </c>
      <c r="K33" s="41">
        <v>0</v>
      </c>
      <c r="L33" s="41">
        <v>0</v>
      </c>
      <c r="M33" s="53">
        <v>0</v>
      </c>
      <c r="N33" s="41">
        <v>0</v>
      </c>
      <c r="O33" s="41">
        <f t="shared" si="7"/>
        <v>-2217.96981</v>
      </c>
      <c r="P33" s="41">
        <f t="shared" si="8"/>
        <v>0</v>
      </c>
      <c r="Q33" s="41">
        <f t="shared" si="9"/>
        <v>-2217.96981</v>
      </c>
      <c r="R33" s="41">
        <f t="shared" si="10"/>
        <v>0</v>
      </c>
      <c r="S33" s="41">
        <f t="shared" si="11"/>
        <v>-2217.96981</v>
      </c>
      <c r="T33" s="41">
        <f t="shared" si="12"/>
        <v>0</v>
      </c>
    </row>
    <row r="34" spans="1:20" ht="80.25" customHeight="1">
      <c r="A34" s="1">
        <v>26</v>
      </c>
      <c r="B34" s="9" t="s">
        <v>20</v>
      </c>
      <c r="C34" s="41">
        <v>3882</v>
      </c>
      <c r="D34" s="41">
        <v>8194</v>
      </c>
      <c r="E34" s="41">
        <f t="shared" si="1"/>
        <v>4312</v>
      </c>
      <c r="F34" s="40">
        <v>8194</v>
      </c>
      <c r="G34" s="53">
        <v>0</v>
      </c>
      <c r="H34" s="32" t="e">
        <f>#REF!-F34</f>
        <v>#REF!</v>
      </c>
      <c r="I34" s="23" t="e">
        <f>#REF!/F34</f>
        <v>#REF!</v>
      </c>
      <c r="J34" s="41">
        <v>7784</v>
      </c>
      <c r="K34" s="41">
        <v>0</v>
      </c>
      <c r="L34" s="41">
        <v>0</v>
      </c>
      <c r="M34" s="53">
        <v>0</v>
      </c>
      <c r="N34" s="41">
        <v>0</v>
      </c>
      <c r="O34" s="41">
        <f t="shared" si="7"/>
        <v>3902</v>
      </c>
      <c r="P34" s="41">
        <f t="shared" si="8"/>
        <v>-410</v>
      </c>
      <c r="Q34" s="41">
        <f t="shared" si="9"/>
        <v>-3882</v>
      </c>
      <c r="R34" s="41">
        <f t="shared" si="10"/>
        <v>-8194</v>
      </c>
      <c r="S34" s="41">
        <f t="shared" si="11"/>
        <v>-3882</v>
      </c>
      <c r="T34" s="41">
        <f t="shared" si="12"/>
        <v>-8194</v>
      </c>
    </row>
    <row r="35" spans="1:20" ht="80.25" customHeight="1">
      <c r="A35" s="1">
        <v>27</v>
      </c>
      <c r="B35" s="9" t="s">
        <v>30</v>
      </c>
      <c r="C35" s="41">
        <v>24146.3</v>
      </c>
      <c r="D35" s="41">
        <v>0</v>
      </c>
      <c r="E35" s="41">
        <f t="shared" si="1"/>
        <v>-24146.3</v>
      </c>
      <c r="F35" s="40">
        <v>0</v>
      </c>
      <c r="G35" s="53">
        <v>0</v>
      </c>
      <c r="H35" s="32" t="e">
        <f>#REF!-F35</f>
        <v>#REF!</v>
      </c>
      <c r="I35" s="23" t="e">
        <f>#REF!/F35</f>
        <v>#REF!</v>
      </c>
      <c r="J35" s="41">
        <v>0</v>
      </c>
      <c r="K35" s="41">
        <v>0</v>
      </c>
      <c r="L35" s="41">
        <v>0</v>
      </c>
      <c r="M35" s="53">
        <v>0</v>
      </c>
      <c r="N35" s="41">
        <v>0</v>
      </c>
      <c r="O35" s="41">
        <f t="shared" si="7"/>
        <v>-24146.3</v>
      </c>
      <c r="P35" s="41">
        <f t="shared" si="8"/>
        <v>0</v>
      </c>
      <c r="Q35" s="41">
        <f t="shared" si="9"/>
        <v>-24146.3</v>
      </c>
      <c r="R35" s="41">
        <f t="shared" si="10"/>
        <v>0</v>
      </c>
      <c r="S35" s="41">
        <f t="shared" si="11"/>
        <v>-24146.3</v>
      </c>
      <c r="T35" s="41">
        <f t="shared" si="12"/>
        <v>0</v>
      </c>
    </row>
    <row r="36" spans="1:20" ht="34.5" customHeight="1">
      <c r="A36" s="1">
        <v>28</v>
      </c>
      <c r="B36" s="9" t="s">
        <v>27</v>
      </c>
      <c r="C36" s="41">
        <v>252893.06975</v>
      </c>
      <c r="D36" s="41">
        <v>131794.07278</v>
      </c>
      <c r="E36" s="41">
        <f t="shared" si="1"/>
        <v>-121098.99697000001</v>
      </c>
      <c r="F36" s="40">
        <v>158649.50626</v>
      </c>
      <c r="G36" s="53">
        <v>60945.36902</v>
      </c>
      <c r="H36" s="32" t="e">
        <f>#REF!-F36</f>
        <v>#REF!</v>
      </c>
      <c r="I36" s="23" t="e">
        <f>#REF!/F36</f>
        <v>#REF!</v>
      </c>
      <c r="J36" s="50">
        <f>5586+20936.3+1940+110802.9+288.4+18071.4+28510+8282.6415+6022.2+4286.9+4300</f>
        <v>209026.74149999997</v>
      </c>
      <c r="K36" s="50">
        <v>45730.23257</v>
      </c>
      <c r="L36" s="50">
        <f>5708+20936.3+1926+301.6+18071.4+2864.415</f>
        <v>49807.715000000004</v>
      </c>
      <c r="M36" s="53">
        <v>0</v>
      </c>
      <c r="N36" s="50">
        <f>5936.8+19814.9+1985.7+18071.4+2639.415</f>
        <v>48448.215000000004</v>
      </c>
      <c r="O36" s="41">
        <f t="shared" si="7"/>
        <v>-43866.32825000002</v>
      </c>
      <c r="P36" s="41">
        <f t="shared" si="8"/>
        <v>50377.23523999998</v>
      </c>
      <c r="Q36" s="41">
        <f t="shared" si="9"/>
        <v>-203085.35475</v>
      </c>
      <c r="R36" s="41">
        <f t="shared" si="10"/>
        <v>-108841.79126</v>
      </c>
      <c r="S36" s="41">
        <f t="shared" si="11"/>
        <v>-204444.85475</v>
      </c>
      <c r="T36" s="41">
        <f t="shared" si="12"/>
        <v>-110201.29126</v>
      </c>
    </row>
    <row r="37" spans="1:20" ht="34.5" customHeight="1">
      <c r="A37" s="1">
        <v>29</v>
      </c>
      <c r="B37" s="9" t="s">
        <v>28</v>
      </c>
      <c r="C37" s="41">
        <v>487703.01104</v>
      </c>
      <c r="D37" s="41">
        <v>455414.6</v>
      </c>
      <c r="E37" s="41">
        <f t="shared" si="1"/>
        <v>-32288.411040000035</v>
      </c>
      <c r="F37" s="40">
        <v>483450.6</v>
      </c>
      <c r="G37" s="53">
        <v>451762.8</v>
      </c>
      <c r="H37" s="32" t="e">
        <f>#REF!-F37</f>
        <v>#REF!</v>
      </c>
      <c r="I37" s="23" t="e">
        <f>#REF!/F37</f>
        <v>#REF!</v>
      </c>
      <c r="J37" s="50">
        <f>430511+1245.3+11213+13764.8+6338.6+2150+385+1158.8+2790.3+0.7</f>
        <v>469557.49999999994</v>
      </c>
      <c r="K37" s="50">
        <v>451790.5</v>
      </c>
      <c r="L37" s="50">
        <f>365934+1292.2+9531+11700+6338.6+2371.7+2150+327+985+0.7</f>
        <v>400630.2</v>
      </c>
      <c r="M37" s="53">
        <f>K37</f>
        <v>451790.5</v>
      </c>
      <c r="N37" s="50">
        <f>430511+1341.2+11213+13764.8+6338.6+2790.3+2150+385+1158.8+0.6</f>
        <v>469653.29999999993</v>
      </c>
      <c r="O37" s="41">
        <f t="shared" si="7"/>
        <v>-18145.51104000007</v>
      </c>
      <c r="P37" s="41">
        <f t="shared" si="8"/>
        <v>-13893.100000000035</v>
      </c>
      <c r="Q37" s="41">
        <f t="shared" si="9"/>
        <v>-87072.81104</v>
      </c>
      <c r="R37" s="41">
        <f t="shared" si="10"/>
        <v>-82820.39999999997</v>
      </c>
      <c r="S37" s="41">
        <f t="shared" si="11"/>
        <v>-18049.711040000082</v>
      </c>
      <c r="T37" s="41">
        <f t="shared" si="12"/>
        <v>-13797.300000000047</v>
      </c>
    </row>
    <row r="38" spans="1:20" ht="18" customHeight="1">
      <c r="A38" s="1">
        <v>30</v>
      </c>
      <c r="B38" s="6" t="s">
        <v>3</v>
      </c>
      <c r="C38" s="41"/>
      <c r="D38" s="41"/>
      <c r="E38" s="41"/>
      <c r="F38" s="40"/>
      <c r="G38" s="53"/>
      <c r="H38" s="32"/>
      <c r="I38" s="23"/>
      <c r="J38" s="41"/>
      <c r="K38" s="41"/>
      <c r="L38" s="41"/>
      <c r="M38" s="53"/>
      <c r="N38" s="41"/>
      <c r="O38" s="41">
        <f t="shared" si="7"/>
        <v>0</v>
      </c>
      <c r="P38" s="41">
        <f t="shared" si="8"/>
        <v>0</v>
      </c>
      <c r="Q38" s="41">
        <f t="shared" si="9"/>
        <v>0</v>
      </c>
      <c r="R38" s="41">
        <f t="shared" si="10"/>
        <v>0</v>
      </c>
      <c r="S38" s="41">
        <f t="shared" si="11"/>
        <v>0</v>
      </c>
      <c r="T38" s="41">
        <f t="shared" si="12"/>
        <v>0</v>
      </c>
    </row>
    <row r="39" spans="1:20" ht="90.75" customHeight="1">
      <c r="A39" s="1">
        <v>31</v>
      </c>
      <c r="B39" s="8" t="s">
        <v>4</v>
      </c>
      <c r="C39" s="41">
        <v>1726</v>
      </c>
      <c r="D39" s="41">
        <v>1729</v>
      </c>
      <c r="E39" s="41">
        <f t="shared" si="1"/>
        <v>3</v>
      </c>
      <c r="F39" s="40">
        <v>1729</v>
      </c>
      <c r="G39" s="53">
        <v>1729</v>
      </c>
      <c r="H39" s="32" t="e">
        <f>#REF!-F39</f>
        <v>#REF!</v>
      </c>
      <c r="I39" s="23" t="e">
        <f>#REF!/F39</f>
        <v>#REF!</v>
      </c>
      <c r="J39" s="41">
        <v>2150</v>
      </c>
      <c r="K39" s="41">
        <v>1729</v>
      </c>
      <c r="L39" s="41">
        <v>2150</v>
      </c>
      <c r="M39" s="53">
        <f>K39</f>
        <v>1729</v>
      </c>
      <c r="N39" s="41">
        <v>2150</v>
      </c>
      <c r="O39" s="41">
        <f t="shared" si="7"/>
        <v>424</v>
      </c>
      <c r="P39" s="41">
        <f t="shared" si="8"/>
        <v>421</v>
      </c>
      <c r="Q39" s="41">
        <f t="shared" si="9"/>
        <v>424</v>
      </c>
      <c r="R39" s="41">
        <f t="shared" si="10"/>
        <v>421</v>
      </c>
      <c r="S39" s="41">
        <f t="shared" si="11"/>
        <v>424</v>
      </c>
      <c r="T39" s="41">
        <f t="shared" si="12"/>
        <v>421</v>
      </c>
    </row>
    <row r="40" spans="1:20" ht="39.75" customHeight="1">
      <c r="A40" s="1">
        <v>32</v>
      </c>
      <c r="B40" s="9" t="s">
        <v>31</v>
      </c>
      <c r="C40" s="41">
        <v>53172.08725</v>
      </c>
      <c r="D40" s="41">
        <v>75166.4351</v>
      </c>
      <c r="E40" s="41">
        <f t="shared" si="1"/>
        <v>21994.347850000006</v>
      </c>
      <c r="F40" s="40">
        <v>74436.26449</v>
      </c>
      <c r="G40" s="53">
        <f>25529.9+82.7+G41</f>
        <v>27387.807</v>
      </c>
      <c r="H40" s="32" t="e">
        <f>#REF!-F40</f>
        <v>#REF!</v>
      </c>
      <c r="I40" s="23" t="e">
        <f>#REF!/F40</f>
        <v>#REF!</v>
      </c>
      <c r="J40" s="61">
        <f>J41</f>
        <v>1775.207</v>
      </c>
      <c r="K40" s="41">
        <v>25758.6</v>
      </c>
      <c r="L40" s="41">
        <f>L41+L42</f>
        <v>0</v>
      </c>
      <c r="M40" s="53">
        <v>0</v>
      </c>
      <c r="N40" s="41">
        <f>N41+N42</f>
        <v>0</v>
      </c>
      <c r="O40" s="41">
        <f t="shared" si="7"/>
        <v>-51396.880249999995</v>
      </c>
      <c r="P40" s="41">
        <f t="shared" si="8"/>
        <v>-72661.05749</v>
      </c>
      <c r="Q40" s="41">
        <f t="shared" si="9"/>
        <v>-53172.08725</v>
      </c>
      <c r="R40" s="41">
        <f t="shared" si="10"/>
        <v>-74436.26449</v>
      </c>
      <c r="S40" s="41">
        <f t="shared" si="11"/>
        <v>-53172.08725</v>
      </c>
      <c r="T40" s="41">
        <f t="shared" si="12"/>
        <v>-74436.26449</v>
      </c>
    </row>
    <row r="41" spans="1:20" ht="129.75" customHeight="1">
      <c r="A41" s="1">
        <v>33</v>
      </c>
      <c r="B41" s="9" t="s">
        <v>7</v>
      </c>
      <c r="C41" s="41">
        <v>1203.897</v>
      </c>
      <c r="D41" s="41">
        <v>1654.327</v>
      </c>
      <c r="E41" s="41">
        <f t="shared" si="1"/>
        <v>450.43000000000006</v>
      </c>
      <c r="F41" s="40">
        <v>1634.365</v>
      </c>
      <c r="G41" s="53">
        <f>74.9*7+74.977+749+202.23+224.7</f>
        <v>1775.207</v>
      </c>
      <c r="H41" s="32" t="e">
        <f>#REF!-F41</f>
        <v>#REF!</v>
      </c>
      <c r="I41" s="23" t="e">
        <f>#REF!/F41</f>
        <v>#REF!</v>
      </c>
      <c r="J41" s="61">
        <f>G41</f>
        <v>1775.207</v>
      </c>
      <c r="K41" s="41">
        <v>0</v>
      </c>
      <c r="L41" s="41">
        <v>0</v>
      </c>
      <c r="M41" s="53">
        <v>0</v>
      </c>
      <c r="N41" s="41">
        <v>0</v>
      </c>
      <c r="O41" s="41">
        <f t="shared" si="7"/>
        <v>571.3100000000002</v>
      </c>
      <c r="P41" s="41">
        <f t="shared" si="8"/>
        <v>140.8420000000001</v>
      </c>
      <c r="Q41" s="41">
        <f t="shared" si="9"/>
        <v>-1203.897</v>
      </c>
      <c r="R41" s="41">
        <f t="shared" si="10"/>
        <v>-1634.365</v>
      </c>
      <c r="S41" s="41">
        <f t="shared" si="11"/>
        <v>-1203.897</v>
      </c>
      <c r="T41" s="41">
        <f t="shared" si="12"/>
        <v>-1634.365</v>
      </c>
    </row>
    <row r="42" spans="1:20" ht="86.25" customHeight="1">
      <c r="A42" s="1">
        <v>34</v>
      </c>
      <c r="B42" s="9" t="s">
        <v>32</v>
      </c>
      <c r="C42" s="41">
        <f>C40-C41</f>
        <v>51968.19025</v>
      </c>
      <c r="D42" s="41">
        <f>D40-D41</f>
        <v>73512.1081</v>
      </c>
      <c r="E42" s="41">
        <f>E40-E41</f>
        <v>21543.917850000005</v>
      </c>
      <c r="F42" s="40">
        <f>F40-F41</f>
        <v>72801.89949</v>
      </c>
      <c r="G42" s="53">
        <f>G40-G41</f>
        <v>25612.600000000002</v>
      </c>
      <c r="H42" s="32" t="e">
        <f>#REF!-F42</f>
        <v>#REF!</v>
      </c>
      <c r="I42" s="23" t="e">
        <f>#REF!/F42</f>
        <v>#REF!</v>
      </c>
      <c r="J42" s="41">
        <v>0</v>
      </c>
      <c r="K42" s="41">
        <f>K40-K41</f>
        <v>25758.6</v>
      </c>
      <c r="L42" s="41">
        <v>0</v>
      </c>
      <c r="M42" s="53">
        <f>M40-M41</f>
        <v>0</v>
      </c>
      <c r="N42" s="41">
        <v>0</v>
      </c>
      <c r="O42" s="41">
        <f t="shared" si="7"/>
        <v>-51968.19025</v>
      </c>
      <c r="P42" s="41">
        <f t="shared" si="8"/>
        <v>-72801.89949</v>
      </c>
      <c r="Q42" s="41">
        <f t="shared" si="9"/>
        <v>-51968.19025</v>
      </c>
      <c r="R42" s="41">
        <f t="shared" si="10"/>
        <v>-72801.89949</v>
      </c>
      <c r="S42" s="41">
        <f t="shared" si="11"/>
        <v>-51968.19025</v>
      </c>
      <c r="T42" s="41">
        <f t="shared" si="12"/>
        <v>-72801.89949</v>
      </c>
    </row>
    <row r="43" spans="1:20" ht="64.5" customHeight="1">
      <c r="A43" s="1">
        <v>35</v>
      </c>
      <c r="B43" s="9" t="s">
        <v>21</v>
      </c>
      <c r="C43" s="41">
        <v>528.65021</v>
      </c>
      <c r="D43" s="41">
        <v>449.6063</v>
      </c>
      <c r="E43" s="41">
        <f t="shared" si="1"/>
        <v>-79.04391000000004</v>
      </c>
      <c r="F43" s="40">
        <v>712.72</v>
      </c>
      <c r="G43" s="53">
        <v>0</v>
      </c>
      <c r="H43" s="32" t="e">
        <f>#REF!-F43</f>
        <v>#REF!</v>
      </c>
      <c r="I43" s="23" t="e">
        <f>#REF!/F43</f>
        <v>#REF!</v>
      </c>
      <c r="J43" s="41">
        <v>0</v>
      </c>
      <c r="K43" s="41">
        <v>0</v>
      </c>
      <c r="L43" s="41">
        <v>0</v>
      </c>
      <c r="M43" s="53">
        <v>0</v>
      </c>
      <c r="N43" s="41">
        <v>0</v>
      </c>
      <c r="O43" s="41">
        <f t="shared" si="7"/>
        <v>-528.65021</v>
      </c>
      <c r="P43" s="41">
        <f t="shared" si="8"/>
        <v>-712.72</v>
      </c>
      <c r="Q43" s="41">
        <f t="shared" si="9"/>
        <v>-528.65021</v>
      </c>
      <c r="R43" s="41">
        <f t="shared" si="10"/>
        <v>-712.72</v>
      </c>
      <c r="S43" s="41">
        <f t="shared" si="11"/>
        <v>-528.65021</v>
      </c>
      <c r="T43" s="41">
        <f t="shared" si="12"/>
        <v>-712.72</v>
      </c>
    </row>
    <row r="44" spans="1:20" ht="91.5" customHeight="1" thickBot="1">
      <c r="A44" s="1">
        <v>36</v>
      </c>
      <c r="B44" s="10" t="s">
        <v>35</v>
      </c>
      <c r="C44" s="42">
        <v>-1393.86769</v>
      </c>
      <c r="D44" s="42">
        <v>-49.64663000000019</v>
      </c>
      <c r="E44" s="49">
        <f t="shared" si="1"/>
        <v>1344.2210599999999</v>
      </c>
      <c r="F44" s="47">
        <v>-1224.8291</v>
      </c>
      <c r="G44" s="58">
        <v>0</v>
      </c>
      <c r="H44" s="34" t="e">
        <f>#REF!-F44</f>
        <v>#REF!</v>
      </c>
      <c r="I44" s="24" t="e">
        <f>#REF!/F44</f>
        <v>#REF!</v>
      </c>
      <c r="J44" s="42">
        <v>0</v>
      </c>
      <c r="K44" s="42">
        <v>0</v>
      </c>
      <c r="L44" s="42">
        <v>0</v>
      </c>
      <c r="M44" s="58">
        <v>0</v>
      </c>
      <c r="N44" s="42">
        <v>0</v>
      </c>
      <c r="O44" s="41">
        <f t="shared" si="7"/>
        <v>1393.86769</v>
      </c>
      <c r="P44" s="41">
        <f t="shared" si="8"/>
        <v>1224.8291</v>
      </c>
      <c r="Q44" s="41">
        <f t="shared" si="9"/>
        <v>1393.86769</v>
      </c>
      <c r="R44" s="41">
        <f t="shared" si="10"/>
        <v>1224.8291</v>
      </c>
      <c r="S44" s="41">
        <f t="shared" si="11"/>
        <v>1393.86769</v>
      </c>
      <c r="T44" s="41">
        <f t="shared" si="12"/>
        <v>1224.8291</v>
      </c>
    </row>
    <row r="45" ht="15.75" customHeight="1">
      <c r="C45" s="30"/>
    </row>
    <row r="46" spans="3:14" ht="15.75" customHeight="1">
      <c r="C46" s="30"/>
      <c r="N46" s="31"/>
    </row>
    <row r="47" ht="15.75" customHeight="1">
      <c r="C47" s="30"/>
    </row>
    <row r="49" spans="2:3" ht="18.75" customHeight="1">
      <c r="B49" s="27"/>
      <c r="C49" s="30"/>
    </row>
    <row r="53" ht="18.75" customHeight="1">
      <c r="B53" s="27"/>
    </row>
    <row r="54" spans="3:14" ht="15.75" customHeight="1">
      <c r="C54" s="30"/>
      <c r="N54" s="27"/>
    </row>
    <row r="55" spans="3:14" ht="15.75" customHeight="1">
      <c r="C55" s="30"/>
      <c r="N55" s="27"/>
    </row>
    <row r="56" spans="3:14" ht="15.75" customHeight="1">
      <c r="C56" s="30"/>
      <c r="N56" s="29"/>
    </row>
    <row r="57" spans="3:14" ht="15.75" customHeight="1">
      <c r="C57" s="30"/>
      <c r="N57" s="27"/>
    </row>
    <row r="58" spans="3:14" ht="15.75" customHeight="1">
      <c r="C58" s="30"/>
      <c r="N58" s="29"/>
    </row>
    <row r="59" ht="15.75" customHeight="1"/>
    <row r="60" ht="15.75" customHeight="1"/>
    <row r="61" ht="15.75" customHeight="1">
      <c r="C61" s="30"/>
    </row>
    <row r="62" ht="15.75" customHeight="1"/>
    <row r="63" ht="15.75" customHeight="1">
      <c r="C63" s="30"/>
    </row>
    <row r="65" ht="18.75" customHeight="1">
      <c r="B65" s="27"/>
    </row>
    <row r="66" ht="15.75" customHeight="1">
      <c r="C66" s="30"/>
    </row>
    <row r="67" ht="15.75" customHeight="1"/>
    <row r="68" ht="15.75" customHeight="1"/>
    <row r="69" ht="15.75" customHeight="1"/>
    <row r="70" ht="20.25">
      <c r="B70" s="27"/>
    </row>
    <row r="71" ht="15.75" customHeight="1">
      <c r="C71" s="30"/>
    </row>
    <row r="72" ht="15.75" customHeight="1">
      <c r="C72" s="30"/>
    </row>
  </sheetData>
  <sheetProtection/>
  <mergeCells count="2">
    <mergeCell ref="H2:M2"/>
    <mergeCell ref="A3:T3"/>
  </mergeCells>
  <printOptions/>
  <pageMargins left="0.3937007874015748" right="0" top="0.3937007874015748" bottom="0" header="0.15748031496062992" footer="0.1968503937007874"/>
  <pageSetup fitToHeight="3" horizontalDpi="600" verticalDpi="600" orientation="landscape" paperSize="9" scale="35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Shihova</dc:creator>
  <cp:keywords/>
  <dc:description/>
  <cp:lastModifiedBy>Анна Маслякова</cp:lastModifiedBy>
  <cp:lastPrinted>2022-11-09T09:41:38Z</cp:lastPrinted>
  <dcterms:created xsi:type="dcterms:W3CDTF">2008-08-21T10:12:18Z</dcterms:created>
  <dcterms:modified xsi:type="dcterms:W3CDTF">2023-03-02T16:22:21Z</dcterms:modified>
  <cp:category/>
  <cp:version/>
  <cp:contentType/>
  <cp:contentStatus/>
</cp:coreProperties>
</file>