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405" windowHeight="12690" firstSheet="4" activeTab="4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 нет" sheetId="4" state="hidden" r:id="rId4"/>
    <sheet name="Приложение 2 к Отчету" sheetId="5" r:id="rId5"/>
    <sheet name="Приложение 5" sheetId="6" state="hidden" r:id="rId6"/>
  </sheets>
  <definedNames>
    <definedName name="_xlnm.Print_Titles" localSheetId="4">'Приложение 2 к Отчету'!$5:$7</definedName>
    <definedName name="_xlnm.Print_Titles" localSheetId="5">'Приложение 5'!$5:$7</definedName>
    <definedName name="_xlnm.Print_Area" localSheetId="4">'Приложение 2 к Отчету'!$A$1:$I$132</definedName>
    <definedName name="_xlnm.Print_Area" localSheetId="5">'Приложение 5'!$A$1:$I$103</definedName>
  </definedNames>
  <calcPr fullCalcOnLoad="1"/>
</workbook>
</file>

<file path=xl/sharedStrings.xml><?xml version="1.0" encoding="utf-8"?>
<sst xmlns="http://schemas.openxmlformats.org/spreadsheetml/2006/main" count="618" uniqueCount="309">
  <si>
    <t>КБК</t>
  </si>
  <si>
    <t>Доведено ЛБО через УФК по РК</t>
  </si>
  <si>
    <t>показателей бюдж. сметы</t>
  </si>
  <si>
    <t>014080199008L4670244</t>
  </si>
  <si>
    <t>01408019900843250111</t>
  </si>
  <si>
    <t>01408019900843250119</t>
  </si>
  <si>
    <t>01408019900870010111</t>
  </si>
  <si>
    <t>01408019900870010112</t>
  </si>
  <si>
    <t>01408019900870010244</t>
  </si>
  <si>
    <t>01408019900870010247</t>
  </si>
  <si>
    <t>01408019900870010853</t>
  </si>
  <si>
    <t>01411029901143140244</t>
  </si>
  <si>
    <t>01411029901170010111</t>
  </si>
  <si>
    <t>01411029901170010112</t>
  </si>
  <si>
    <t>01411029901170010119</t>
  </si>
  <si>
    <t>01411029901170010244</t>
  </si>
  <si>
    <t>01411029901170010247</t>
  </si>
  <si>
    <t>014110299011S3140244</t>
  </si>
  <si>
    <t>01407059900870010244</t>
  </si>
  <si>
    <t>01408019900870010119</t>
  </si>
  <si>
    <t>через УФК
по РК</t>
  </si>
  <si>
    <t>Бюджетная смета на 2021 год</t>
  </si>
  <si>
    <t>─</t>
  </si>
  <si>
    <t>Приложение № 1
к Акту</t>
  </si>
  <si>
    <t>Внесено изменений</t>
  </si>
  <si>
    <t>Итого</t>
  </si>
  <si>
    <t>Отклонения</t>
  </si>
  <si>
    <t>24=23-22</t>
  </si>
  <si>
    <t>Бюджетная смета на 2021 год с уч. изменений</t>
  </si>
  <si>
    <t>Приложение № 2
к Акту</t>
  </si>
  <si>
    <t>01401139900170070244</t>
  </si>
  <si>
    <t>01401139900170070247</t>
  </si>
  <si>
    <t>01408019900844310243</t>
  </si>
  <si>
    <t>01411029901170010853</t>
  </si>
  <si>
    <t>01408019900844310244</t>
  </si>
  <si>
    <t>Приложение № 3
к Акту</t>
  </si>
  <si>
    <t>I. Оплата труда</t>
  </si>
  <si>
    <t>Доведено ЛБО</t>
  </si>
  <si>
    <t>Факт. начислено</t>
  </si>
  <si>
    <t>Остаток свободных ЛБО</t>
  </si>
  <si>
    <t>ИТОГО</t>
  </si>
  <si>
    <t>в том числе</t>
  </si>
  <si>
    <t>раздел 0801 "Культура"</t>
  </si>
  <si>
    <t>раздел 1102 "Массовй спорт"</t>
  </si>
  <si>
    <t>01.02.2021*</t>
  </si>
  <si>
    <t>01.03.2021*</t>
  </si>
  <si>
    <t>01.04.2021*</t>
  </si>
  <si>
    <t>01.05.2021*</t>
  </si>
  <si>
    <t>01.06.2021*</t>
  </si>
  <si>
    <r>
      <t>*</t>
    </r>
    <r>
      <rPr>
        <sz val="10"/>
        <rFont val="Times New Roman"/>
        <family val="1"/>
      </rPr>
      <t xml:space="preserve"> 30 июня 2021 года приведено в соответствии с Порядком формирования и применения кодов бюджетной классификации Российской Федерации, их структуре и принципах назначения, утвержденным приказом Министерства финансов Российской Федерации от 06 июня 2019 года № 85н</t>
    </r>
  </si>
  <si>
    <t>Приложение № 4
к Акту</t>
  </si>
  <si>
    <t>(рублей)</t>
  </si>
  <si>
    <t>КБК 01408019900843250111, КБК 01408019900870010111</t>
  </si>
  <si>
    <t>КБК 01411029901170010111</t>
  </si>
  <si>
    <t>Дата</t>
  </si>
  <si>
    <t>ИП Макаров И.В.</t>
  </si>
  <si>
    <t>доступ к интернет-сервисам (компьютер сервис)</t>
  </si>
  <si>
    <t>ООО "СПС Дата"</t>
  </si>
  <si>
    <t>АО "ТНС энерго Карелия"</t>
  </si>
  <si>
    <t>электроэнергия</t>
  </si>
  <si>
    <t>ООО "ЧОО "Онего"</t>
  </si>
  <si>
    <t>ООО "Автоспецтранс"</t>
  </si>
  <si>
    <t>услуги по обращению с ТКО</t>
  </si>
  <si>
    <t>Кондопожское ММП ЖКХ</t>
  </si>
  <si>
    <t>холодное водоснабжение и водоотведение</t>
  </si>
  <si>
    <t>АО "Производственная фирма "СКБ Контур"</t>
  </si>
  <si>
    <t>ИП Мишков В.Б.</t>
  </si>
  <si>
    <t>фискальный накопитель</t>
  </si>
  <si>
    <t>перерегистрация ККМ</t>
  </si>
  <si>
    <t>ремонт автоматической пожарной сигнализации</t>
  </si>
  <si>
    <t>замена приборов учета холодной воды</t>
  </si>
  <si>
    <t>ПАО "Вымпел-Коммуникации"</t>
  </si>
  <si>
    <t>тепловая энергия и горячая вода</t>
  </si>
  <si>
    <t>ООО "Гермес Строй Монтаж"</t>
  </si>
  <si>
    <t>ремонт будки лаза крыльца клуба</t>
  </si>
  <si>
    <t>частичный ремонт крыльца клуба</t>
  </si>
  <si>
    <t>промывка и опрессовка</t>
  </si>
  <si>
    <t>ООО "Дата"</t>
  </si>
  <si>
    <t>замена приборов учета холодной и горячей воды</t>
  </si>
  <si>
    <t>ИП Маков Н.С.</t>
  </si>
  <si>
    <t>ООО "РЦЦС Ркспублики Карелия"</t>
  </si>
  <si>
    <t>ИП Кудлачев Д.Н.</t>
  </si>
  <si>
    <t>ООО "АТК"</t>
  </si>
  <si>
    <t>научно-исследовательские работы по нормированию труда в КСК "Янишполе"</t>
  </si>
  <si>
    <t>ООО "СТ-СТРОЙ"</t>
  </si>
  <si>
    <t>ремонт спортивного зала (3 этап)</t>
  </si>
  <si>
    <t>замена розеток</t>
  </si>
  <si>
    <t>устранение засора канализации и опломбировка ХВС и ГВС</t>
  </si>
  <si>
    <t>АНО ДПО "УрИПКиП"</t>
  </si>
  <si>
    <t>ИП Абсаратов И.Т.</t>
  </si>
  <si>
    <t>система видеонаблюдения</t>
  </si>
  <si>
    <t>КБК 01407059900870010244</t>
  </si>
  <si>
    <t>№ п/п</t>
  </si>
  <si>
    <t>Принято бюджетных обязательств на основании первичных учетных документов</t>
  </si>
  <si>
    <t>КБК 014080199008L4670244</t>
  </si>
  <si>
    <t>КБК 01411029901143140244, 014110299011S3140244</t>
  </si>
  <si>
    <t>ремонт спортивного зала (2 этап)</t>
  </si>
  <si>
    <t>услуги по проектированию и установке узла коммерческого учета тепловой энергии и теплоносителя</t>
  </si>
  <si>
    <t>Анализ
принимаемых бюджетных обязательств по оплате труда работников КСК Янишполе" в 2021 году</t>
  </si>
  <si>
    <t>Анализ
внесения изменений в бюджетную смету получателя бюджетных средств КСК «Янишполе» в 2021 году</t>
  </si>
  <si>
    <t>Анализ
внесения изменений в бюджетную смету получателя бюджетных средств КСК «Янишполе» в 2022 году</t>
  </si>
  <si>
    <t>Анализ
принимаемых бюджетных обязательств по начислениям на выплаты по оплате труда работников КСК Янишполе" в 2021 году</t>
  </si>
  <si>
    <t>Сумма,
рублей</t>
  </si>
  <si>
    <t>Наименование
товара, работы, услуги</t>
  </si>
  <si>
    <t>КБК 01411029901170010244</t>
  </si>
  <si>
    <t>Рантала И.В.</t>
  </si>
  <si>
    <t>переброска кассового расхода по ЗКРАА0140 от 20.04.2021 года</t>
  </si>
  <si>
    <t>выдано подотчет на проведение мероприятий</t>
  </si>
  <si>
    <t>Дата принятия обязательств</t>
  </si>
  <si>
    <t>Реквизиты документа</t>
  </si>
  <si>
    <t>Договор от 17.02.2021
№ 42295</t>
  </si>
  <si>
    <t>Договор от 31.05.2021 № 1</t>
  </si>
  <si>
    <t>Договор от 31.05.2021 № 2</t>
  </si>
  <si>
    <t>Муниципальный контракт от 28.09.2021 № 1аэф-21</t>
  </si>
  <si>
    <t>Договор от 26.11.2021
№ 17/21</t>
  </si>
  <si>
    <t>Договор от 15.03.2021
№ 687</t>
  </si>
  <si>
    <t>Договор от 01.06.2021 № 92</t>
  </si>
  <si>
    <t>Платежное поручение от 02.06.2021 № 573063</t>
  </si>
  <si>
    <t>Платежное поручение от 25.06.2021 № 847307</t>
  </si>
  <si>
    <r>
      <t>Превышение БО над ЛБО (</t>
    </r>
    <r>
      <rPr>
        <b/>
        <sz val="9"/>
        <rFont val="Calibri"/>
        <family val="2"/>
      </rPr>
      <t>─</t>
    </r>
    <r>
      <rPr>
        <b/>
        <sz val="9"/>
        <rFont val="Times New Roman"/>
        <family val="1"/>
      </rPr>
      <t>),
Остаток свободных ЛБО (+) на дату принятия БО</t>
    </r>
  </si>
  <si>
    <t>Договор от 29.01.2021
№ 271-а</t>
  </si>
  <si>
    <t>Акт от 23.03.2021
№ ВНП 3-2020</t>
  </si>
  <si>
    <t>Поставщик, подрядчик; подотчетное лицо;
исполнитель</t>
  </si>
  <si>
    <t>Администрация Янишп СП</t>
  </si>
  <si>
    <t>задолженность перед исполнителем по ДГПХ от 31.12.2019 № 8 (уборка помещ. в спорт. зале Дома культуры)</t>
  </si>
  <si>
    <t>Акт об оказании услуг
от 31.01.2021, 28.02.2021, 31.03.2021, 30.04.2021, 31.05.2021</t>
  </si>
  <si>
    <t>Акт об оказании услуг
от 31.08.2021</t>
  </si>
  <si>
    <t>Акт об оказании услуг
от 30.09.2021</t>
  </si>
  <si>
    <t>Акт об оказании услуг
от 31.10.2021</t>
  </si>
  <si>
    <t>Акт об оказании услуг
от 30.11.2021</t>
  </si>
  <si>
    <t>Платежное поручение от 17.11.2021 № 795663</t>
  </si>
  <si>
    <t>выдано подотчет на приобретение призов</t>
  </si>
  <si>
    <t>Договор от 10.12.2021 № 2</t>
  </si>
  <si>
    <t>Договор от 13.12.2021 № 3</t>
  </si>
  <si>
    <t>Договор от 14.12.2021
№ 116</t>
  </si>
  <si>
    <t>Договор от 13.12.2021
№ 12/10-21</t>
  </si>
  <si>
    <t>Договор от 13.12.2021
№ 08/11-21</t>
  </si>
  <si>
    <t>монтажные работы в помещении спорт. зала ДК (туалет и душевая)</t>
  </si>
  <si>
    <t>монтаж гипсокартонных листов в помещении спорт. зала ДК</t>
  </si>
  <si>
    <t>Платежное поручение от 28.12.2021 № 524524</t>
  </si>
  <si>
    <t>Платежное поручение от 30.12.2021 № 630163</t>
  </si>
  <si>
    <t>КБК 01411029901170010247</t>
  </si>
  <si>
    <t>Договор от 05.04.2021
№ 42; Доп. соглаш. от 07.04.2021 к Договору</t>
  </si>
  <si>
    <t>ИТОГО по КБК 014080199008L4670244 на 31.12.2021 года</t>
  </si>
  <si>
    <t>ИТОГО по КБК 01407059900870010244 на 31.12.2021 года</t>
  </si>
  <si>
    <t>ИТОГО по КБК 01411029901143140244, 014110299011S3140244 на 31.12.2021 года</t>
  </si>
  <si>
    <t>ИТОГО по КБК 01411029901170010244 на 31.12.2021 года</t>
  </si>
  <si>
    <t>Акт об оказании услуг
от 30.12.2021</t>
  </si>
  <si>
    <t>КБК 01408019900870010247</t>
  </si>
  <si>
    <t>Договор от 21.01.2021
№ 01884</t>
  </si>
  <si>
    <t>Годовая бюдж. отчетность ГАБС Администрации Янишп СП за 2021 год</t>
  </si>
  <si>
    <t>кредиторская задолженность за 2020 год (тепловая энергия и горячая вода)</t>
  </si>
  <si>
    <t>электроэнергия (оконч. расчет)</t>
  </si>
  <si>
    <t>Договор от 24.01.2020
№ 01884</t>
  </si>
  <si>
    <t>Доп. соглашение от 08.12.2021 № 1 к Договору от 04.05.2021 № 42</t>
  </si>
  <si>
    <t>Доп. соглашение от 17.12.2021 № 1 к Муниц. контракту от 28.09.2021
№ 1аэф-21</t>
  </si>
  <si>
    <t>кредиторская задолженность за 2020 год (договора ГПХ, страховые взносы, промывка труб ХВ)</t>
  </si>
  <si>
    <t>задолженность перед исполнителями по ДГПХ за 2020 год</t>
  </si>
  <si>
    <t>Акт об оказании услуг
от 31.12.2020</t>
  </si>
  <si>
    <t>Левкина Е.В.</t>
  </si>
  <si>
    <t>Акты об оказании услуг
от 31.10.2020, 30.11.2020, 31.12.2020</t>
  </si>
  <si>
    <t>задолженность перед исполнителем по ДГПХ от 01.12.2020 №11 (уборка помещений в клубе "Параскева")</t>
  </si>
  <si>
    <t>задолженность перед исполнителем по ДГПХ от 31.12.2029 №3 (руководство женским клубом "Параскева")</t>
  </si>
  <si>
    <t>задолженность перед исполнителем по ДГПХ от 31.12.2019 №9 (руководство историко-краевед. клубом "Начало")</t>
  </si>
  <si>
    <t>услуги по уборке помещений в спорт. зале ДК по ДГПХ от 11.01.2021 №2 с учетом страховых взносов</t>
  </si>
  <si>
    <t>ПАО «Вымпелком»</t>
  </si>
  <si>
    <t>Договор от 18.03.2020
№ 675500443</t>
  </si>
  <si>
    <t>задолженность за услуги мобильной связи Билайн (декабрь 2020 года)</t>
  </si>
  <si>
    <t>Платежное поручение от 04.03.2021 № 393130</t>
  </si>
  <si>
    <t>водоснабжение и водоотведение</t>
  </si>
  <si>
    <t>Договор от 23.03.2020
№ 271-а</t>
  </si>
  <si>
    <t>Договор от 01.01.2021
№ 2021/0009</t>
  </si>
  <si>
    <t>Договор от 10.01.2021
№ КП1898</t>
  </si>
  <si>
    <t>сопровождение экземпляров систем Консультантплюс</t>
  </si>
  <si>
    <t>Договор ог 29.01.2021
№ 492/2</t>
  </si>
  <si>
    <t>услуги по техническому обслуживанию пожарной сигнализации</t>
  </si>
  <si>
    <t>Договор ог 29.01.2021
№ 51-015/21 АСТ</t>
  </si>
  <si>
    <t>холодн. водоснабжение и водоотведение</t>
  </si>
  <si>
    <t>Договор ог 29.01.2021
№ 271-а</t>
  </si>
  <si>
    <t>Договор ог 17.02.2021
№ 44310050/21</t>
  </si>
  <si>
    <t>Договор от 02.03.2021
№ МШ-210302/008</t>
  </si>
  <si>
    <t>Договор от 02.03.2021
№ МК 210302/2022</t>
  </si>
  <si>
    <t>услуги мобильной связи Билайн</t>
  </si>
  <si>
    <t>Акты об оказании услуг
от 31.01.2021</t>
  </si>
  <si>
    <t>услуги по ДГПХ от 11.01.2021 с учетом страховых взносов</t>
  </si>
  <si>
    <t>Исполнители по ДГПХ</t>
  </si>
  <si>
    <t>Акты об оказании услуг
от 28.02.2021</t>
  </si>
  <si>
    <t>Акты об оказании услуг
от 31.03.2021</t>
  </si>
  <si>
    <t>Акты об оказании услуг
от 30.04.2021</t>
  </si>
  <si>
    <t>Акты об оказании услуг
от 31.05.2021</t>
  </si>
  <si>
    <t>Акт об оказании услуг
от 26.06.2021</t>
  </si>
  <si>
    <t>Акты об оказании услуг
от 30.06.2021</t>
  </si>
  <si>
    <t>Акты об оказании услуг
от 31.07.2021</t>
  </si>
  <si>
    <t>Договор от 01.08.2021
№ ДТ1898</t>
  </si>
  <si>
    <t>Платежное поручение от 02.07.2021 № 33146</t>
  </si>
  <si>
    <t>Коликова Г.А.</t>
  </si>
  <si>
    <t>выдано подотчет на приобретение канцелярии</t>
  </si>
  <si>
    <t>холодн. водоснабжение и водоотведение (приведение в соотв-вие с приказом Минфина России №85н)</t>
  </si>
  <si>
    <t>Акты об оказании услуг
от 31.08.2021</t>
  </si>
  <si>
    <t>Договор от 02.09.2021 № 16</t>
  </si>
  <si>
    <t>Акты об оказании услуг
от 30.09.2021</t>
  </si>
  <si>
    <t>Доп. соглашение от 21.10.2021 к Договору от 10.01.2021 № КП1898</t>
  </si>
  <si>
    <t>Договор от 26.10.2021
№ 2112</t>
  </si>
  <si>
    <t>Акты об оказании услуг
от 31.10.2021</t>
  </si>
  <si>
    <t>Акты об оказании услуг
от 30.11.2021</t>
  </si>
  <si>
    <t>Договор от 30.11.2021
№ 107/НТ/21</t>
  </si>
  <si>
    <t>Договор от 14.12.2021
№ 115</t>
  </si>
  <si>
    <t>Договор от 16.12.2021
№ М2Д/ЮЛ/КПП/83379</t>
  </si>
  <si>
    <t>Платежное поручение от 17.08.2021 № 553234</t>
  </si>
  <si>
    <t>Платежное поручение от 30.09.2021 № 163257</t>
  </si>
  <si>
    <t>Договор от 23.12.2021 № 2</t>
  </si>
  <si>
    <t>Договор от 25.03.2021 № 26</t>
  </si>
  <si>
    <t>Договор от 25.03.2021
№ 675500443</t>
  </si>
  <si>
    <t>Доп. соглашение от 21.10.2021 к Договору от 25.03.2021 № 675500443</t>
  </si>
  <si>
    <t>Акты об оказании услуг
от 30.12.2021</t>
  </si>
  <si>
    <t>Акт об оказании услуг
от 21.08.2021</t>
  </si>
  <si>
    <t>Рантала М.Ю.</t>
  </si>
  <si>
    <t>услуги диджея по ДГПХ от 11.01.2021 №9 с учетом страховых взносов</t>
  </si>
  <si>
    <t>образовательные услуги по программам доп. профессионального образования</t>
  </si>
  <si>
    <t>пересчет смет в ценах 4 кв. 2021: ремонт в ДК, ремонт помещ. проекционной ДК</t>
  </si>
  <si>
    <t>Платежное поручение от 28.12.2021 № 524521</t>
  </si>
  <si>
    <t>выдано подотчет на приобретение хоз. товаров</t>
  </si>
  <si>
    <t>Платежное поручение от 28.12.2021 № 524523</t>
  </si>
  <si>
    <t>выдано подотчет на приобретение ноутбука</t>
  </si>
  <si>
    <t>Платежное поручение от 29.12.2021 № 586432</t>
  </si>
  <si>
    <t>выдано подотчет на проведение мероприятий и приобрет-е светильников</t>
  </si>
  <si>
    <t>Платежное поручение от 30.12.2021 № 611505</t>
  </si>
  <si>
    <t>перерасход по аванс. отчету от 28.12.2021</t>
  </si>
  <si>
    <t>ИТОГО по КБК 01408019900870010244 на 31.12.2021 года</t>
  </si>
  <si>
    <t>КБК 01408019900870010244</t>
  </si>
  <si>
    <t>услуги по проведению концерта на Дне Села по ДГПХ от 26.06.2021 с учетом страховых взносов</t>
  </si>
  <si>
    <t>предоставление права исп-ния и абонент. обслуж. Системы "Контур.Экстерн"</t>
  </si>
  <si>
    <t>Приложение № 5
к Акту</t>
  </si>
  <si>
    <t xml:space="preserve">Анализ
принимаемых бюджетных обязательств по муниципальным контрактам и договорам, заключенным КСК «Янишполе»
в 2022 году на закупку товаров, работ, услуг в разрезе кодов бюджетной классификации расходов </t>
  </si>
  <si>
    <t>КБК 01401139900170070244</t>
  </si>
  <si>
    <t>Договор от 03.03.2022
№ 01884</t>
  </si>
  <si>
    <t>КБК 01401139900170070247</t>
  </si>
  <si>
    <t>Договор от 23.05.2022 № 42</t>
  </si>
  <si>
    <t>оказание услуг охраны объектов с осущ. работ по техническому обслуживанию технических средств охраны</t>
  </si>
  <si>
    <t>Договор от 05.05.2022
№ 491/3</t>
  </si>
  <si>
    <t>Договор от 16.06.2022
№ 51-015/22 АСТ</t>
  </si>
  <si>
    <t>ООО "Карельский экологический оператор"</t>
  </si>
  <si>
    <t>Договор от 23.05.2022
№ 271-а; Протокол разногласий от 21.09.2022</t>
  </si>
  <si>
    <t>Доп. соглашение от 26.10.2022 к Договору от 23.05.2022 № 271-а</t>
  </si>
  <si>
    <t>Доп. соглашение от 27.12.2022 к Договору от 23.05.2022 № 271-а</t>
  </si>
  <si>
    <t>Смирнова С.Н.</t>
  </si>
  <si>
    <t>уборка помещений администрации</t>
  </si>
  <si>
    <t>Договор гражданско-правового характера от 26.10.2022 № 9</t>
  </si>
  <si>
    <t>КБК 01408019900844310243</t>
  </si>
  <si>
    <t>ООО "Темплет"</t>
  </si>
  <si>
    <t>на выполнение работ по разработке проектно-сметной документации</t>
  </si>
  <si>
    <t>ИТОГО по КБК 01401139900170070247 на 31.12.2022 года</t>
  </si>
  <si>
    <t>ИТОГО по КБК 01408019900844310243 на 31.12.2022 года</t>
  </si>
  <si>
    <t>Муниципальный контракт
от 12.01.2022</t>
  </si>
  <si>
    <t>оказание услуг по ведению бухгалтер. (бюджетного) учета и составл. отчетности</t>
  </si>
  <si>
    <t>Договор от 02.06.2022
№ 492/3</t>
  </si>
  <si>
    <t>Решение налогового органа от 16.03.2022 № 2</t>
  </si>
  <si>
    <t>недомка по НДФЛ, страховым взносам по договорам ГПХ за 2021 год</t>
  </si>
  <si>
    <t>Межрайонная ИФНС России
№ 9 по Республике Карелия</t>
  </si>
  <si>
    <t>Договор от 27.06.2022
№ 675500443</t>
  </si>
  <si>
    <t>ООО "КВАНТЕК"</t>
  </si>
  <si>
    <t>услуги мобильной связи</t>
  </si>
  <si>
    <t>Договор от 17.08.2022
№ МШ-220815/001</t>
  </si>
  <si>
    <t>Договор от 17.08.2022
№ МК 220815/001</t>
  </si>
  <si>
    <t>Муниципальный контракт от 09.08.2022 № 1аэф-22 (расторгнут 28.12.22)</t>
  </si>
  <si>
    <t>Договор от 26.09.2022 № б/н</t>
  </si>
  <si>
    <t>ООО "Офис-сервис"</t>
  </si>
  <si>
    <t>приобретение канцелярских и хозяйственных товаров</t>
  </si>
  <si>
    <t>Доп. соглашение от 26.09.2022 к Договору от 02.06.2022 № 492/3</t>
  </si>
  <si>
    <t>Договор гражданско-правового характера от 12.08.2022 № 8</t>
  </si>
  <si>
    <t>услуги диджея во время проведения спортивных мероприятий</t>
  </si>
  <si>
    <t>Договор гражданско-правового характера от 25.08.2022 № 1</t>
  </si>
  <si>
    <t>Карниленкова Г.В.</t>
  </si>
  <si>
    <t>услуги по руководству кукольного кружка</t>
  </si>
  <si>
    <t>Договор гражданско-правового характера от 25.08.2022 № 2</t>
  </si>
  <si>
    <t>Маслякова И.Е.</t>
  </si>
  <si>
    <t>услуги по руководству женского клуба "Параскева"</t>
  </si>
  <si>
    <t>Договор гражданско-правового характера от 25.08.2022 № 3</t>
  </si>
  <si>
    <t>Павкина Т.В.</t>
  </si>
  <si>
    <t>уборка помещений в клубе "Параскева"</t>
  </si>
  <si>
    <t>Договор гражданско-правового характера от 25.08.2022 № 4</t>
  </si>
  <si>
    <t>Малькова А.В.</t>
  </si>
  <si>
    <t>услуги педагога по вокалу</t>
  </si>
  <si>
    <t>Годовая бюдж. отчетность ГАБС Администрации Янишп СП за 2022 год</t>
  </si>
  <si>
    <t xml:space="preserve">кредиторская задолженность за 2021 год (услуги мобил. связи, КонсультантПлюс, хол. водоснабж. и водоотвед., Договор ГПХ, недоимка по НДФЛ, страх. взносам по договорам ГПХ за 2021 год) </t>
  </si>
  <si>
    <t>кредиторская задолженность за 2021 год (Договор ГПХ, возмещение расходов по аванс. отчету, страховые взносы по договорам ГПХ за 2021 год)</t>
  </si>
  <si>
    <t>Договор гражданско-правового характера от 16.12.2022 № 1</t>
  </si>
  <si>
    <t>Договор гражданско-правового характера от 16.12.2022 № 3</t>
  </si>
  <si>
    <t>Договор гражданско-правового характера от 16.12.2022 № 4</t>
  </si>
  <si>
    <t>Договор гражданско-правового характера от 16.12.2022 № 5</t>
  </si>
  <si>
    <t>услуги по руководству историко-краеведческого клуба "Начало"</t>
  </si>
  <si>
    <t>Договор гражданско-правового характера от 19.12.2022 № 1</t>
  </si>
  <si>
    <t>Договор гражданско-правового характера от 19.12.2022 № 2</t>
  </si>
  <si>
    <t>Договор гражданско-правового характера от 19.12.2022 № 3</t>
  </si>
  <si>
    <t>Договор гражданско-правового характера от 19.12.2022 № 5</t>
  </si>
  <si>
    <t>Договор гражданско-правового характера от 23.12.2022 № 8</t>
  </si>
  <si>
    <t>услуги диджея во время проведения новогодних мероприятий</t>
  </si>
  <si>
    <t>ИТОГО по КБК 01408019900870010244 на 31.12.2022 года</t>
  </si>
  <si>
    <t>ИТОГО по КБК 01401139900170070244 на 31.12.2022 года</t>
  </si>
  <si>
    <t xml:space="preserve">кредиторская задолженность за 2021 год (хол. водоснабжение и водоотведение) </t>
  </si>
  <si>
    <t>ИТОГО по КБК 01408019900870010247 на 31.12.2022 года</t>
  </si>
  <si>
    <t>Письмо директора КСК "Янишполе" от 29.12.2022 к Договору от 23.05.22 № 42</t>
  </si>
  <si>
    <t xml:space="preserve">кредиторская задолженность за 2021 год (тепловая энергия и горячая вода) </t>
  </si>
  <si>
    <t xml:space="preserve">кредиторская задолженность за 2021 год (хол. водоснабж. и водоотвед., монтаж гипсокарт. листов, Договор ГПХ, недоимка по НДФЛ, страх. взносам по договорам ГПХ за 2021 год) </t>
  </si>
  <si>
    <t>Договор от 19.12.2022 № 50</t>
  </si>
  <si>
    <t>ИП Морозова С.В.</t>
  </si>
  <si>
    <t>приобретение спортивного инвентаря</t>
  </si>
  <si>
    <t xml:space="preserve">Анализ
принимаемых бюджетных обязательств по муниципальным контрактам и договорам, заключенным КСК «Янишполе»
в 2021 году, на закупку товаров, работ, услуг в разрезе кодов бюджетной классификации расходов </t>
  </si>
  <si>
    <t xml:space="preserve">Приложение № 2
к Отчету от 26 мая 2023 года № 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</si>
</sst>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 ;[Red]\-#,##0.0\ "/>
    <numFmt numFmtId="170" formatCode="#,##0_ ;[Red]\-#,##0\ "/>
    <numFmt numFmtId="171" formatCode="dd/mm/yy"/>
    <numFmt numFmtId="172" formatCode="mmm/yyyy"/>
    <numFmt numFmtId="173" formatCode="0.00_ ;\-0.00\ "/>
    <numFmt numFmtId="174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sz val="9.5"/>
      <name val="Times New Roman"/>
      <family val="1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49" fontId="56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7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4" fontId="3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49" fontId="58" fillId="0" borderId="10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14" fontId="3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4" fontId="6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49" fontId="3" fillId="0" borderId="10" xfId="53" applyNumberFormat="1" applyFont="1" applyBorder="1" applyAlignment="1">
      <alignment horizontal="center" vertical="center" wrapText="1"/>
      <protection/>
    </xf>
    <xf numFmtId="14" fontId="3" fillId="0" borderId="15" xfId="0" applyNumberFormat="1" applyFont="1" applyBorder="1" applyAlignment="1">
      <alignment horizontal="center" vertical="center"/>
    </xf>
    <xf numFmtId="170" fontId="3" fillId="0" borderId="14" xfId="0" applyNumberFormat="1" applyFont="1" applyBorder="1" applyAlignment="1">
      <alignment horizontal="right" vertical="center"/>
    </xf>
    <xf numFmtId="170" fontId="3" fillId="0" borderId="15" xfId="0" applyNumberFormat="1" applyFont="1" applyBorder="1" applyAlignment="1">
      <alignment horizontal="right" vertical="center"/>
    </xf>
    <xf numFmtId="170" fontId="3" fillId="0" borderId="12" xfId="0" applyNumberFormat="1" applyFont="1" applyBorder="1" applyAlignment="1">
      <alignment horizontal="right" vertical="center"/>
    </xf>
    <xf numFmtId="170" fontId="56" fillId="0" borderId="15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>
      <alignment horizontal="right" vertical="center"/>
    </xf>
    <xf numFmtId="170" fontId="4" fillId="0" borderId="15" xfId="0" applyNumberFormat="1" applyFont="1" applyBorder="1" applyAlignment="1">
      <alignment horizontal="right" vertical="center"/>
    </xf>
    <xf numFmtId="170" fontId="3" fillId="0" borderId="13" xfId="0" applyNumberFormat="1" applyFont="1" applyBorder="1" applyAlignment="1">
      <alignment horizontal="right" vertical="center"/>
    </xf>
    <xf numFmtId="170" fontId="3" fillId="0" borderId="11" xfId="0" applyNumberFormat="1" applyFont="1" applyBorder="1" applyAlignment="1">
      <alignment horizontal="right" vertical="center"/>
    </xf>
    <xf numFmtId="170" fontId="4" fillId="0" borderId="13" xfId="0" applyNumberFormat="1" applyFont="1" applyBorder="1" applyAlignment="1">
      <alignment horizontal="right" vertical="center"/>
    </xf>
    <xf numFmtId="170" fontId="4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8" fillId="0" borderId="16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164" fontId="8" fillId="0" borderId="17" xfId="0" applyNumberFormat="1" applyFont="1" applyBorder="1" applyAlignment="1">
      <alignment vertical="center"/>
    </xf>
    <xf numFmtId="164" fontId="8" fillId="0" borderId="18" xfId="0" applyNumberFormat="1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14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 indent="2"/>
    </xf>
    <xf numFmtId="0" fontId="0" fillId="0" borderId="23" xfId="0" applyBorder="1" applyAlignment="1">
      <alignment/>
    </xf>
    <xf numFmtId="0" fontId="8" fillId="0" borderId="11" xfId="0" applyFont="1" applyBorder="1" applyAlignment="1">
      <alignment horizontal="left" vertical="center" indent="1"/>
    </xf>
    <xf numFmtId="164" fontId="8" fillId="0" borderId="24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6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16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Fill="1" applyBorder="1" applyAlignment="1">
      <alignment vertical="center"/>
    </xf>
    <xf numFmtId="14" fontId="3" fillId="0" borderId="17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Alignment="1">
      <alignment horizontal="right" vertical="top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0" xfId="0" applyNumberFormat="1" applyFont="1" applyFill="1" applyBorder="1" applyAlignment="1" applyProtection="1">
      <alignment horizontal="right" vertical="center"/>
      <protection locked="0"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justify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justify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/>
      <protection locked="0"/>
    </xf>
    <xf numFmtId="164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4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Fill="1" applyBorder="1" applyAlignment="1" applyProtection="1">
      <alignment horizontal="right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8" xfId="0" applyFont="1" applyFill="1" applyBorder="1" applyAlignment="1" applyProtection="1">
      <alignment horizontal="justify" vertical="center" wrapText="1"/>
      <protection locked="0"/>
    </xf>
    <xf numFmtId="164" fontId="4" fillId="0" borderId="28" xfId="0" applyNumberFormat="1" applyFont="1" applyFill="1" applyBorder="1" applyAlignment="1" applyProtection="1">
      <alignment horizontal="right" vertical="center"/>
      <protection locked="0"/>
    </xf>
    <xf numFmtId="164" fontId="4" fillId="0" borderId="18" xfId="0" applyNumberFormat="1" applyFont="1" applyFill="1" applyBorder="1" applyAlignment="1" applyProtection="1">
      <alignment horizontal="right" vertical="center"/>
      <protection locked="0"/>
    </xf>
    <xf numFmtId="164" fontId="4" fillId="0" borderId="13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top" wrapText="1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 indent="1"/>
      <protection locked="0"/>
    </xf>
    <xf numFmtId="14" fontId="12" fillId="0" borderId="11" xfId="0" applyNumberFormat="1" applyFont="1" applyFill="1" applyBorder="1" applyAlignment="1" applyProtection="1">
      <alignment horizontal="left" vertical="center"/>
      <protection locked="0"/>
    </xf>
    <xf numFmtId="14" fontId="12" fillId="0" borderId="24" xfId="0" applyNumberFormat="1" applyFont="1" applyFill="1" applyBorder="1" applyAlignment="1" applyProtection="1">
      <alignment horizontal="left" vertical="center"/>
      <protection locked="0"/>
    </xf>
    <xf numFmtId="14" fontId="12" fillId="0" borderId="29" xfId="0" applyNumberFormat="1" applyFont="1" applyFill="1" applyBorder="1" applyAlignment="1" applyProtection="1">
      <alignment horizontal="left" vertical="center"/>
      <protection locked="0"/>
    </xf>
    <xf numFmtId="14" fontId="12" fillId="0" borderId="30" xfId="0" applyNumberFormat="1" applyFont="1" applyFill="1" applyBorder="1" applyAlignment="1" applyProtection="1">
      <alignment horizontal="left" vertical="center"/>
      <protection locked="0"/>
    </xf>
    <xf numFmtId="0" fontId="7" fillId="33" borderId="17" xfId="0" applyFont="1" applyFill="1" applyBorder="1" applyAlignment="1" applyProtection="1">
      <alignment horizontal="left" vertical="center" wrapText="1" indent="1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Fill="1" applyBorder="1" applyAlignment="1" applyProtection="1">
      <alignment horizontal="justify" vertical="center" wrapText="1"/>
      <protection locked="0"/>
    </xf>
    <xf numFmtId="0" fontId="3" fillId="0" borderId="3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top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/>
    </xf>
    <xf numFmtId="174" fontId="8" fillId="0" borderId="0" xfId="0" applyNumberFormat="1" applyFont="1" applyAlignment="1">
      <alignment horizontal="right" vertical="top" wrapText="1"/>
    </xf>
    <xf numFmtId="174" fontId="4" fillId="0" borderId="0" xfId="0" applyNumberFormat="1" applyFont="1" applyFill="1" applyBorder="1" applyAlignment="1" applyProtection="1">
      <alignment horizontal="right" vertical="top"/>
      <protection/>
    </xf>
    <xf numFmtId="174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4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174" fontId="3" fillId="0" borderId="17" xfId="0" applyNumberFormat="1" applyFont="1" applyFill="1" applyBorder="1" applyAlignment="1" applyProtection="1">
      <alignment horizontal="right" vertical="center"/>
      <protection locked="0"/>
    </xf>
    <xf numFmtId="174" fontId="4" fillId="0" borderId="10" xfId="0" applyNumberFormat="1" applyFont="1" applyFill="1" applyBorder="1" applyAlignment="1" applyProtection="1">
      <alignment horizontal="right" vertical="center"/>
      <protection locked="0"/>
    </xf>
    <xf numFmtId="174" fontId="4" fillId="0" borderId="17" xfId="0" applyNumberFormat="1" applyFont="1" applyFill="1" applyBorder="1" applyAlignment="1" applyProtection="1">
      <alignment horizontal="right" vertical="center"/>
      <protection locked="0"/>
    </xf>
    <xf numFmtId="174" fontId="4" fillId="0" borderId="18" xfId="0" applyNumberFormat="1" applyFont="1" applyFill="1" applyBorder="1" applyAlignment="1" applyProtection="1">
      <alignment horizontal="right" vertical="center"/>
      <protection locked="0"/>
    </xf>
    <xf numFmtId="174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17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7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pane xSplit="1" topLeftCell="B1" activePane="topRight" state="frozen"/>
      <selection pane="topLeft" activeCell="A2" sqref="A2:IV2"/>
      <selection pane="topRight" activeCell="A2" sqref="A2:IV2"/>
    </sheetView>
  </sheetViews>
  <sheetFormatPr defaultColWidth="9.140625" defaultRowHeight="15"/>
  <cols>
    <col min="1" max="1" width="18.8515625" style="1" customWidth="1"/>
    <col min="2" max="3" width="10.7109375" style="1" customWidth="1"/>
    <col min="4" max="7" width="9.7109375" style="1" customWidth="1"/>
    <col min="8" max="9" width="8.7109375" style="1" customWidth="1"/>
    <col min="10" max="10" width="9.7109375" style="1" customWidth="1"/>
    <col min="11" max="11" width="7.7109375" style="1" customWidth="1"/>
    <col min="12" max="12" width="9.7109375" style="1" customWidth="1"/>
    <col min="13" max="13" width="7.7109375" style="1" customWidth="1"/>
    <col min="14" max="14" width="9.7109375" style="1" customWidth="1"/>
    <col min="15" max="15" width="7.7109375" style="1" customWidth="1"/>
    <col min="16" max="16" width="9.7109375" style="1" customWidth="1"/>
    <col min="17" max="17" width="7.7109375" style="1" customWidth="1"/>
    <col min="18" max="18" width="8.7109375" style="1" customWidth="1"/>
    <col min="19" max="19" width="7.7109375" style="1" customWidth="1"/>
    <col min="20" max="20" width="10.7109375" style="1" customWidth="1"/>
    <col min="21" max="21" width="7.7109375" style="1" customWidth="1"/>
    <col min="22" max="23" width="10.7109375" style="1" customWidth="1"/>
    <col min="24" max="24" width="11.7109375" style="1" customWidth="1"/>
    <col min="25" max="16384" width="9.140625" style="1" customWidth="1"/>
  </cols>
  <sheetData>
    <row r="1" spans="22:24" ht="24.75" customHeight="1">
      <c r="V1" s="155" t="s">
        <v>23</v>
      </c>
      <c r="W1" s="155"/>
      <c r="X1" s="155"/>
    </row>
    <row r="2" spans="1:24" ht="30.75" customHeight="1">
      <c r="A2" s="153" t="s">
        <v>99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ht="12">
      <c r="X3" s="85" t="s">
        <v>51</v>
      </c>
    </row>
    <row r="4" spans="1:24" ht="18" customHeight="1">
      <c r="A4" s="158" t="s">
        <v>0</v>
      </c>
      <c r="B4" s="151" t="s">
        <v>1</v>
      </c>
      <c r="C4" s="159" t="s">
        <v>21</v>
      </c>
      <c r="D4" s="156" t="s">
        <v>24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2" t="s">
        <v>25</v>
      </c>
      <c r="W4" s="151"/>
      <c r="X4" s="151" t="s">
        <v>26</v>
      </c>
    </row>
    <row r="5" spans="1:24" ht="40.5" customHeight="1">
      <c r="A5" s="158"/>
      <c r="B5" s="151"/>
      <c r="C5" s="159"/>
      <c r="D5" s="22" t="s">
        <v>20</v>
      </c>
      <c r="E5" s="13" t="s">
        <v>2</v>
      </c>
      <c r="F5" s="22" t="s">
        <v>20</v>
      </c>
      <c r="G5" s="34" t="s">
        <v>2</v>
      </c>
      <c r="H5" s="24" t="s">
        <v>20</v>
      </c>
      <c r="I5" s="4" t="s">
        <v>2</v>
      </c>
      <c r="J5" s="22" t="s">
        <v>20</v>
      </c>
      <c r="K5" s="34" t="s">
        <v>2</v>
      </c>
      <c r="L5" s="4" t="s">
        <v>20</v>
      </c>
      <c r="M5" s="4" t="s">
        <v>2</v>
      </c>
      <c r="N5" s="22" t="s">
        <v>20</v>
      </c>
      <c r="O5" s="34" t="s">
        <v>2</v>
      </c>
      <c r="P5" s="4" t="s">
        <v>20</v>
      </c>
      <c r="Q5" s="4" t="s">
        <v>2</v>
      </c>
      <c r="R5" s="22" t="s">
        <v>20</v>
      </c>
      <c r="S5" s="34" t="s">
        <v>2</v>
      </c>
      <c r="T5" s="24" t="s">
        <v>20</v>
      </c>
      <c r="U5" s="13" t="s">
        <v>2</v>
      </c>
      <c r="V5" s="152" t="s">
        <v>1</v>
      </c>
      <c r="W5" s="151" t="s">
        <v>28</v>
      </c>
      <c r="X5" s="151"/>
    </row>
    <row r="6" spans="1:24" ht="16.5" customHeight="1">
      <c r="A6" s="158"/>
      <c r="B6" s="5">
        <v>44189</v>
      </c>
      <c r="C6" s="14">
        <v>44205</v>
      </c>
      <c r="D6" s="18">
        <v>44286</v>
      </c>
      <c r="E6" s="31">
        <v>44286</v>
      </c>
      <c r="F6" s="18">
        <v>44302</v>
      </c>
      <c r="G6" s="35" t="s">
        <v>22</v>
      </c>
      <c r="H6" s="25">
        <v>44349</v>
      </c>
      <c r="I6" s="6">
        <v>44348</v>
      </c>
      <c r="J6" s="18">
        <v>44376</v>
      </c>
      <c r="K6" s="35" t="s">
        <v>22</v>
      </c>
      <c r="L6" s="6">
        <v>44377</v>
      </c>
      <c r="M6" s="23" t="s">
        <v>22</v>
      </c>
      <c r="N6" s="18">
        <v>44406</v>
      </c>
      <c r="O6" s="35" t="s">
        <v>22</v>
      </c>
      <c r="P6" s="6">
        <v>44420</v>
      </c>
      <c r="Q6" s="23" t="s">
        <v>22</v>
      </c>
      <c r="R6" s="18">
        <v>44468</v>
      </c>
      <c r="S6" s="35" t="s">
        <v>22</v>
      </c>
      <c r="T6" s="25">
        <v>44553</v>
      </c>
      <c r="U6" s="39" t="s">
        <v>22</v>
      </c>
      <c r="V6" s="152"/>
      <c r="W6" s="151"/>
      <c r="X6" s="151"/>
    </row>
    <row r="7" spans="1:24" s="10" customFormat="1" ht="10.5">
      <c r="A7" s="8">
        <v>1</v>
      </c>
      <c r="B7" s="9">
        <v>2</v>
      </c>
      <c r="C7" s="15">
        <v>3</v>
      </c>
      <c r="D7" s="19">
        <v>4</v>
      </c>
      <c r="E7" s="32">
        <v>5</v>
      </c>
      <c r="F7" s="19">
        <v>6</v>
      </c>
      <c r="G7" s="36">
        <v>7</v>
      </c>
      <c r="H7" s="26">
        <v>8</v>
      </c>
      <c r="I7" s="8">
        <v>9</v>
      </c>
      <c r="J7" s="19">
        <v>10</v>
      </c>
      <c r="K7" s="36">
        <v>11</v>
      </c>
      <c r="L7" s="8">
        <v>12</v>
      </c>
      <c r="M7" s="8">
        <v>13</v>
      </c>
      <c r="N7" s="19">
        <v>14</v>
      </c>
      <c r="O7" s="36">
        <v>15</v>
      </c>
      <c r="P7" s="8">
        <v>16</v>
      </c>
      <c r="Q7" s="8">
        <v>17</v>
      </c>
      <c r="R7" s="19">
        <v>18</v>
      </c>
      <c r="S7" s="36">
        <v>19</v>
      </c>
      <c r="T7" s="26">
        <v>20</v>
      </c>
      <c r="U7" s="32">
        <v>21</v>
      </c>
      <c r="V7" s="40">
        <v>22</v>
      </c>
      <c r="W7" s="9">
        <v>23</v>
      </c>
      <c r="X7" s="9" t="s">
        <v>27</v>
      </c>
    </row>
    <row r="8" spans="1:24" s="2" customFormat="1" ht="15.75" customHeight="1">
      <c r="A8" s="7" t="s">
        <v>18</v>
      </c>
      <c r="B8" s="11"/>
      <c r="C8" s="16"/>
      <c r="D8" s="20"/>
      <c r="E8" s="16"/>
      <c r="F8" s="20"/>
      <c r="G8" s="37"/>
      <c r="H8" s="27"/>
      <c r="I8" s="11"/>
      <c r="J8" s="20"/>
      <c r="K8" s="37"/>
      <c r="L8" s="11"/>
      <c r="M8" s="11"/>
      <c r="N8" s="20"/>
      <c r="O8" s="37"/>
      <c r="P8" s="11">
        <v>10000</v>
      </c>
      <c r="Q8" s="11"/>
      <c r="R8" s="20"/>
      <c r="S8" s="37"/>
      <c r="T8" s="27"/>
      <c r="U8" s="16"/>
      <c r="V8" s="20">
        <f>B8+D8+F8+H8+J8+L8+N8+P8+R8+T8</f>
        <v>10000</v>
      </c>
      <c r="W8" s="11">
        <f>C8+E8+G8+I8+K8+M8+O8+Q8+S8+U8</f>
        <v>0</v>
      </c>
      <c r="X8" s="11">
        <f>W8-V8</f>
        <v>-10000</v>
      </c>
    </row>
    <row r="9" spans="1:24" s="2" customFormat="1" ht="15.75" customHeight="1">
      <c r="A9" s="7" t="s">
        <v>4</v>
      </c>
      <c r="B9" s="11"/>
      <c r="C9" s="16"/>
      <c r="D9" s="33">
        <v>183636</v>
      </c>
      <c r="E9" s="16">
        <v>183636</v>
      </c>
      <c r="F9" s="20"/>
      <c r="G9" s="37"/>
      <c r="H9" s="27"/>
      <c r="I9" s="11"/>
      <c r="J9" s="20"/>
      <c r="K9" s="37"/>
      <c r="L9" s="11"/>
      <c r="M9" s="11"/>
      <c r="N9" s="20"/>
      <c r="O9" s="37"/>
      <c r="P9" s="11"/>
      <c r="Q9" s="11"/>
      <c r="R9" s="20"/>
      <c r="S9" s="37"/>
      <c r="T9" s="27"/>
      <c r="U9" s="16"/>
      <c r="V9" s="20">
        <f aca="true" t="shared" si="0" ref="V9:V24">B9+D9+F9+H9+J9+L9+N9+P9+R9+T9</f>
        <v>183636</v>
      </c>
      <c r="W9" s="11">
        <f aca="true" t="shared" si="1" ref="W9:W24">C9+E9+G9+I9+K9+M9+O9+Q9+S9+U9</f>
        <v>183636</v>
      </c>
      <c r="X9" s="11">
        <f aca="true" t="shared" si="2" ref="X9:X24">W9-V9</f>
        <v>0</v>
      </c>
    </row>
    <row r="10" spans="1:24" s="2" customFormat="1" ht="15.75" customHeight="1">
      <c r="A10" s="7" t="s">
        <v>5</v>
      </c>
      <c r="B10" s="11"/>
      <c r="C10" s="16"/>
      <c r="D10" s="33">
        <v>55458</v>
      </c>
      <c r="E10" s="16">
        <v>55458</v>
      </c>
      <c r="F10" s="20"/>
      <c r="G10" s="37"/>
      <c r="H10" s="27"/>
      <c r="I10" s="11"/>
      <c r="J10" s="20"/>
      <c r="K10" s="37"/>
      <c r="L10" s="11"/>
      <c r="M10" s="11"/>
      <c r="N10" s="20"/>
      <c r="O10" s="37"/>
      <c r="P10" s="11"/>
      <c r="Q10" s="11"/>
      <c r="R10" s="20"/>
      <c r="S10" s="37"/>
      <c r="T10" s="27"/>
      <c r="U10" s="16"/>
      <c r="V10" s="20">
        <f t="shared" si="0"/>
        <v>55458</v>
      </c>
      <c r="W10" s="11">
        <f t="shared" si="1"/>
        <v>55458</v>
      </c>
      <c r="X10" s="11">
        <f t="shared" si="2"/>
        <v>0</v>
      </c>
    </row>
    <row r="11" spans="1:24" s="2" customFormat="1" ht="15.75" customHeight="1">
      <c r="A11" s="7" t="s">
        <v>6</v>
      </c>
      <c r="B11" s="11">
        <v>1274540.4</v>
      </c>
      <c r="C11" s="16">
        <v>1274540.4</v>
      </c>
      <c r="D11" s="33">
        <v>-190886.6</v>
      </c>
      <c r="E11" s="16">
        <v>-190886.6</v>
      </c>
      <c r="F11" s="20"/>
      <c r="G11" s="37"/>
      <c r="H11" s="27"/>
      <c r="I11" s="11"/>
      <c r="J11" s="20"/>
      <c r="K11" s="37"/>
      <c r="L11" s="11">
        <v>-297396</v>
      </c>
      <c r="M11" s="11"/>
      <c r="N11" s="20"/>
      <c r="O11" s="37"/>
      <c r="P11" s="11">
        <v>245207.56</v>
      </c>
      <c r="Q11" s="11"/>
      <c r="R11" s="20"/>
      <c r="S11" s="37"/>
      <c r="T11" s="27">
        <v>107123.66</v>
      </c>
      <c r="U11" s="16"/>
      <c r="V11" s="20">
        <f t="shared" si="0"/>
        <v>1138589.0199999998</v>
      </c>
      <c r="W11" s="11">
        <f t="shared" si="1"/>
        <v>1083653.7999999998</v>
      </c>
      <c r="X11" s="11">
        <f t="shared" si="2"/>
        <v>-54935.21999999997</v>
      </c>
    </row>
    <row r="12" spans="1:24" s="2" customFormat="1" ht="15.75" customHeight="1">
      <c r="A12" s="7" t="s">
        <v>7</v>
      </c>
      <c r="B12" s="11">
        <v>384911.2</v>
      </c>
      <c r="C12" s="16">
        <v>384911.2</v>
      </c>
      <c r="D12" s="33"/>
      <c r="E12" s="16"/>
      <c r="F12" s="20"/>
      <c r="G12" s="37"/>
      <c r="H12" s="27"/>
      <c r="I12" s="11"/>
      <c r="J12" s="20"/>
      <c r="K12" s="37"/>
      <c r="L12" s="11"/>
      <c r="M12" s="11"/>
      <c r="N12" s="20"/>
      <c r="O12" s="37"/>
      <c r="P12" s="11"/>
      <c r="Q12" s="11"/>
      <c r="R12" s="20"/>
      <c r="S12" s="37"/>
      <c r="T12" s="27">
        <v>7556.44</v>
      </c>
      <c r="U12" s="16"/>
      <c r="V12" s="20">
        <f t="shared" si="0"/>
        <v>392467.64</v>
      </c>
      <c r="W12" s="11">
        <f t="shared" si="1"/>
        <v>384911.2</v>
      </c>
      <c r="X12" s="11">
        <f t="shared" si="2"/>
        <v>-7556.440000000002</v>
      </c>
    </row>
    <row r="13" spans="1:24" s="2" customFormat="1" ht="15.75" customHeight="1">
      <c r="A13" s="7" t="s">
        <v>19</v>
      </c>
      <c r="B13" s="11"/>
      <c r="C13" s="16"/>
      <c r="D13" s="33">
        <v>190886.6</v>
      </c>
      <c r="E13" s="16">
        <v>190886.6</v>
      </c>
      <c r="F13" s="20"/>
      <c r="G13" s="37"/>
      <c r="H13" s="27"/>
      <c r="I13" s="11"/>
      <c r="J13" s="20">
        <v>-1552.38</v>
      </c>
      <c r="K13" s="37"/>
      <c r="L13" s="11">
        <v>-279399.73</v>
      </c>
      <c r="M13" s="11"/>
      <c r="N13" s="20"/>
      <c r="O13" s="37"/>
      <c r="P13" s="11"/>
      <c r="Q13" s="11"/>
      <c r="R13" s="20"/>
      <c r="S13" s="37"/>
      <c r="T13" s="27">
        <v>41612.56</v>
      </c>
      <c r="U13" s="16"/>
      <c r="V13" s="20">
        <f t="shared" si="0"/>
        <v>-48452.94999999998</v>
      </c>
      <c r="W13" s="11">
        <f t="shared" si="1"/>
        <v>190886.6</v>
      </c>
      <c r="X13" s="11">
        <f t="shared" si="2"/>
        <v>239339.55</v>
      </c>
    </row>
    <row r="14" spans="1:24" s="2" customFormat="1" ht="15.75" customHeight="1">
      <c r="A14" s="7" t="s">
        <v>8</v>
      </c>
      <c r="B14" s="11">
        <v>457360.4</v>
      </c>
      <c r="C14" s="16">
        <v>457360.4</v>
      </c>
      <c r="D14" s="20"/>
      <c r="E14" s="16"/>
      <c r="F14" s="20"/>
      <c r="G14" s="37"/>
      <c r="H14" s="27"/>
      <c r="I14" s="11"/>
      <c r="J14" s="20">
        <v>190438.14</v>
      </c>
      <c r="K14" s="37"/>
      <c r="L14" s="11">
        <v>-7350</v>
      </c>
      <c r="M14" s="11"/>
      <c r="N14" s="20"/>
      <c r="O14" s="37"/>
      <c r="P14" s="11">
        <v>97728.55</v>
      </c>
      <c r="Q14" s="11"/>
      <c r="R14" s="20"/>
      <c r="S14" s="37"/>
      <c r="T14" s="27">
        <v>220354.51</v>
      </c>
      <c r="U14" s="16"/>
      <c r="V14" s="20">
        <f t="shared" si="0"/>
        <v>958531.6000000001</v>
      </c>
      <c r="W14" s="11">
        <f t="shared" si="1"/>
        <v>457360.4</v>
      </c>
      <c r="X14" s="11">
        <f t="shared" si="2"/>
        <v>-501171.20000000007</v>
      </c>
    </row>
    <row r="15" spans="1:24" s="2" customFormat="1" ht="15.75" customHeight="1">
      <c r="A15" s="7" t="s">
        <v>9</v>
      </c>
      <c r="B15" s="11">
        <v>701800</v>
      </c>
      <c r="C15" s="16">
        <v>701800</v>
      </c>
      <c r="D15" s="20"/>
      <c r="E15" s="16"/>
      <c r="F15" s="20"/>
      <c r="G15" s="37"/>
      <c r="H15" s="27"/>
      <c r="I15" s="11"/>
      <c r="J15" s="20"/>
      <c r="K15" s="37"/>
      <c r="L15" s="11">
        <v>-276900</v>
      </c>
      <c r="M15" s="11"/>
      <c r="N15" s="20"/>
      <c r="O15" s="37"/>
      <c r="P15" s="11"/>
      <c r="Q15" s="11"/>
      <c r="R15" s="20"/>
      <c r="S15" s="37"/>
      <c r="T15" s="27">
        <v>1322.13</v>
      </c>
      <c r="U15" s="16"/>
      <c r="V15" s="20">
        <f t="shared" si="0"/>
        <v>426222.13</v>
      </c>
      <c r="W15" s="11">
        <f t="shared" si="1"/>
        <v>701800</v>
      </c>
      <c r="X15" s="11">
        <f t="shared" si="2"/>
        <v>275577.87</v>
      </c>
    </row>
    <row r="16" spans="1:24" s="2" customFormat="1" ht="15.75" customHeight="1">
      <c r="A16" s="7" t="s">
        <v>10</v>
      </c>
      <c r="B16" s="11"/>
      <c r="C16" s="16"/>
      <c r="D16" s="20"/>
      <c r="E16" s="16"/>
      <c r="F16" s="20"/>
      <c r="G16" s="37"/>
      <c r="H16" s="27"/>
      <c r="I16" s="11"/>
      <c r="J16" s="20">
        <v>251.92</v>
      </c>
      <c r="K16" s="37"/>
      <c r="L16" s="11"/>
      <c r="M16" s="11"/>
      <c r="N16" s="20"/>
      <c r="O16" s="37"/>
      <c r="P16" s="11">
        <v>1025.55</v>
      </c>
      <c r="Q16" s="11"/>
      <c r="R16" s="20">
        <v>7355.75</v>
      </c>
      <c r="S16" s="37"/>
      <c r="T16" s="27">
        <v>178.64</v>
      </c>
      <c r="U16" s="16"/>
      <c r="V16" s="20">
        <f t="shared" si="0"/>
        <v>8811.859999999999</v>
      </c>
      <c r="W16" s="11">
        <f t="shared" si="1"/>
        <v>0</v>
      </c>
      <c r="X16" s="11">
        <f t="shared" si="2"/>
        <v>-8811.859999999999</v>
      </c>
    </row>
    <row r="17" spans="1:24" s="2" customFormat="1" ht="15.75" customHeight="1">
      <c r="A17" s="7" t="s">
        <v>3</v>
      </c>
      <c r="B17" s="11"/>
      <c r="C17" s="16"/>
      <c r="D17" s="20"/>
      <c r="E17" s="16"/>
      <c r="F17" s="20">
        <v>128745.54</v>
      </c>
      <c r="G17" s="37">
        <v>128745.54</v>
      </c>
      <c r="H17" s="27"/>
      <c r="I17" s="11"/>
      <c r="J17" s="20">
        <v>1300.46</v>
      </c>
      <c r="K17" s="37"/>
      <c r="L17" s="11"/>
      <c r="M17" s="11"/>
      <c r="N17" s="20"/>
      <c r="O17" s="37"/>
      <c r="P17" s="11"/>
      <c r="Q17" s="11"/>
      <c r="R17" s="20"/>
      <c r="S17" s="37"/>
      <c r="T17" s="27"/>
      <c r="U17" s="16"/>
      <c r="V17" s="20">
        <f>B17+D17+F17+H17+J17+L17+N17+P17+R17+T17</f>
        <v>130046</v>
      </c>
      <c r="W17" s="11">
        <f>C17+E17+G17+I17+K17+M17+O17+Q17+S17+U17</f>
        <v>128745.54</v>
      </c>
      <c r="X17" s="11">
        <f>W17-V17</f>
        <v>-1300.4600000000064</v>
      </c>
    </row>
    <row r="18" spans="1:24" s="2" customFormat="1" ht="15.75" customHeight="1">
      <c r="A18" s="7" t="s">
        <v>12</v>
      </c>
      <c r="B18" s="11"/>
      <c r="C18" s="16"/>
      <c r="D18" s="20"/>
      <c r="E18" s="16"/>
      <c r="F18" s="20"/>
      <c r="G18" s="37"/>
      <c r="H18" s="27"/>
      <c r="I18" s="11"/>
      <c r="J18" s="20">
        <v>297396</v>
      </c>
      <c r="K18" s="37"/>
      <c r="L18" s="11"/>
      <c r="M18" s="11"/>
      <c r="N18" s="20"/>
      <c r="O18" s="37"/>
      <c r="P18" s="11"/>
      <c r="Q18" s="11"/>
      <c r="R18" s="20"/>
      <c r="S18" s="37"/>
      <c r="T18" s="27">
        <v>57186.15</v>
      </c>
      <c r="U18" s="16"/>
      <c r="V18" s="20">
        <f t="shared" si="0"/>
        <v>354582.15</v>
      </c>
      <c r="W18" s="11">
        <f t="shared" si="1"/>
        <v>0</v>
      </c>
      <c r="X18" s="11">
        <f t="shared" si="2"/>
        <v>-354582.15</v>
      </c>
    </row>
    <row r="19" spans="1:24" s="2" customFormat="1" ht="15.75" customHeight="1">
      <c r="A19" s="7" t="s">
        <v>13</v>
      </c>
      <c r="B19" s="11"/>
      <c r="C19" s="16"/>
      <c r="D19" s="20"/>
      <c r="E19" s="16"/>
      <c r="F19" s="20"/>
      <c r="G19" s="37"/>
      <c r="H19" s="27"/>
      <c r="I19" s="11"/>
      <c r="J19" s="20"/>
      <c r="K19" s="37"/>
      <c r="L19" s="11"/>
      <c r="M19" s="11"/>
      <c r="N19" s="20"/>
      <c r="O19" s="37"/>
      <c r="P19" s="11"/>
      <c r="Q19" s="11"/>
      <c r="R19" s="20"/>
      <c r="S19" s="37"/>
      <c r="T19" s="27">
        <v>3778.22</v>
      </c>
      <c r="U19" s="16"/>
      <c r="V19" s="20">
        <f t="shared" si="0"/>
        <v>3778.22</v>
      </c>
      <c r="W19" s="11">
        <f t="shared" si="1"/>
        <v>0</v>
      </c>
      <c r="X19" s="11">
        <f t="shared" si="2"/>
        <v>-3778.22</v>
      </c>
    </row>
    <row r="20" spans="1:24" s="2" customFormat="1" ht="15.75" customHeight="1">
      <c r="A20" s="7" t="s">
        <v>14</v>
      </c>
      <c r="B20" s="11"/>
      <c r="C20" s="16"/>
      <c r="D20" s="20"/>
      <c r="E20" s="16"/>
      <c r="F20" s="20"/>
      <c r="G20" s="37"/>
      <c r="H20" s="27"/>
      <c r="I20" s="11"/>
      <c r="J20" s="20">
        <v>89813.59</v>
      </c>
      <c r="K20" s="37"/>
      <c r="L20" s="11"/>
      <c r="M20" s="11"/>
      <c r="N20" s="20"/>
      <c r="O20" s="37"/>
      <c r="P20" s="11"/>
      <c r="Q20" s="11"/>
      <c r="R20" s="20"/>
      <c r="S20" s="37"/>
      <c r="T20" s="27">
        <v>15688.38</v>
      </c>
      <c r="U20" s="16"/>
      <c r="V20" s="20">
        <f t="shared" si="0"/>
        <v>105501.97</v>
      </c>
      <c r="W20" s="11">
        <f t="shared" si="1"/>
        <v>0</v>
      </c>
      <c r="X20" s="11">
        <f t="shared" si="2"/>
        <v>-105501.97</v>
      </c>
    </row>
    <row r="21" spans="1:24" s="2" customFormat="1" ht="15.75" customHeight="1">
      <c r="A21" s="7" t="s">
        <v>15</v>
      </c>
      <c r="B21" s="11"/>
      <c r="C21" s="16"/>
      <c r="D21" s="20"/>
      <c r="E21" s="16"/>
      <c r="F21" s="20"/>
      <c r="G21" s="37"/>
      <c r="H21" s="27">
        <v>15000</v>
      </c>
      <c r="I21" s="11">
        <v>20000</v>
      </c>
      <c r="J21" s="20">
        <v>78436</v>
      </c>
      <c r="K21" s="37"/>
      <c r="L21" s="11"/>
      <c r="M21" s="11"/>
      <c r="N21" s="20"/>
      <c r="O21" s="37"/>
      <c r="P21" s="11">
        <v>10882.92</v>
      </c>
      <c r="Q21" s="11"/>
      <c r="R21" s="20"/>
      <c r="S21" s="37"/>
      <c r="T21" s="27">
        <v>1173527.96</v>
      </c>
      <c r="U21" s="16"/>
      <c r="V21" s="20">
        <f t="shared" si="0"/>
        <v>1277846.88</v>
      </c>
      <c r="W21" s="11">
        <f t="shared" si="1"/>
        <v>20000</v>
      </c>
      <c r="X21" s="11">
        <f t="shared" si="2"/>
        <v>-1257846.88</v>
      </c>
    </row>
    <row r="22" spans="1:24" s="2" customFormat="1" ht="15.75" customHeight="1">
      <c r="A22" s="7" t="s">
        <v>16</v>
      </c>
      <c r="B22" s="11"/>
      <c r="C22" s="16"/>
      <c r="D22" s="20"/>
      <c r="E22" s="16"/>
      <c r="F22" s="20"/>
      <c r="G22" s="37"/>
      <c r="H22" s="27"/>
      <c r="I22" s="11"/>
      <c r="J22" s="20">
        <v>276900</v>
      </c>
      <c r="K22" s="37"/>
      <c r="L22" s="11"/>
      <c r="M22" s="11"/>
      <c r="N22" s="20"/>
      <c r="O22" s="37"/>
      <c r="P22" s="11"/>
      <c r="Q22" s="11"/>
      <c r="R22" s="20"/>
      <c r="S22" s="37"/>
      <c r="T22" s="27">
        <v>257825.04</v>
      </c>
      <c r="U22" s="16"/>
      <c r="V22" s="20">
        <f t="shared" si="0"/>
        <v>534725.04</v>
      </c>
      <c r="W22" s="11">
        <f t="shared" si="1"/>
        <v>0</v>
      </c>
      <c r="X22" s="11">
        <f t="shared" si="2"/>
        <v>-534725.04</v>
      </c>
    </row>
    <row r="23" spans="1:24" s="2" customFormat="1" ht="15.75" customHeight="1">
      <c r="A23" s="7" t="s">
        <v>11</v>
      </c>
      <c r="B23" s="11"/>
      <c r="C23" s="16"/>
      <c r="D23" s="20"/>
      <c r="E23" s="16"/>
      <c r="F23" s="20"/>
      <c r="G23" s="37"/>
      <c r="H23" s="27"/>
      <c r="I23" s="11"/>
      <c r="J23" s="20"/>
      <c r="K23" s="37"/>
      <c r="L23" s="11"/>
      <c r="M23" s="11"/>
      <c r="N23" s="20">
        <v>845663</v>
      </c>
      <c r="O23" s="37"/>
      <c r="P23" s="11"/>
      <c r="Q23" s="11"/>
      <c r="R23" s="20"/>
      <c r="S23" s="37"/>
      <c r="T23" s="27"/>
      <c r="U23" s="16"/>
      <c r="V23" s="20">
        <f t="shared" si="0"/>
        <v>845663</v>
      </c>
      <c r="W23" s="11">
        <f t="shared" si="1"/>
        <v>0</v>
      </c>
      <c r="X23" s="11">
        <f t="shared" si="2"/>
        <v>-845663</v>
      </c>
    </row>
    <row r="24" spans="1:24" s="2" customFormat="1" ht="15.75" customHeight="1">
      <c r="A24" s="7" t="s">
        <v>17</v>
      </c>
      <c r="B24" s="12"/>
      <c r="C24" s="17"/>
      <c r="D24" s="21"/>
      <c r="E24" s="17"/>
      <c r="F24" s="21"/>
      <c r="G24" s="38"/>
      <c r="H24" s="28"/>
      <c r="I24" s="12"/>
      <c r="J24" s="21"/>
      <c r="K24" s="38"/>
      <c r="L24" s="12"/>
      <c r="M24" s="12"/>
      <c r="N24" s="21"/>
      <c r="O24" s="38"/>
      <c r="P24" s="11">
        <f>103210+73000</f>
        <v>176210</v>
      </c>
      <c r="Q24" s="12"/>
      <c r="R24" s="21"/>
      <c r="S24" s="38"/>
      <c r="T24" s="28"/>
      <c r="U24" s="17"/>
      <c r="V24" s="20">
        <f t="shared" si="0"/>
        <v>176210</v>
      </c>
      <c r="W24" s="11">
        <f t="shared" si="1"/>
        <v>0</v>
      </c>
      <c r="X24" s="11">
        <f t="shared" si="2"/>
        <v>-176210</v>
      </c>
    </row>
    <row r="25" spans="1:24" s="30" customFormat="1" ht="18" customHeight="1">
      <c r="A25" s="29"/>
      <c r="B25" s="12">
        <f aca="true" t="shared" si="3" ref="B25:X25">SUM(B8:B24)</f>
        <v>2818612</v>
      </c>
      <c r="C25" s="17">
        <f t="shared" si="3"/>
        <v>2818612</v>
      </c>
      <c r="D25" s="21">
        <f t="shared" si="3"/>
        <v>239094</v>
      </c>
      <c r="E25" s="17">
        <f t="shared" si="3"/>
        <v>239094</v>
      </c>
      <c r="F25" s="21">
        <f t="shared" si="3"/>
        <v>128745.54</v>
      </c>
      <c r="G25" s="38">
        <f t="shared" si="3"/>
        <v>128745.54</v>
      </c>
      <c r="H25" s="28">
        <f t="shared" si="3"/>
        <v>15000</v>
      </c>
      <c r="I25" s="12">
        <f t="shared" si="3"/>
        <v>20000</v>
      </c>
      <c r="J25" s="21">
        <f t="shared" si="3"/>
        <v>932983.73</v>
      </c>
      <c r="K25" s="38">
        <f t="shared" si="3"/>
        <v>0</v>
      </c>
      <c r="L25" s="12">
        <f t="shared" si="3"/>
        <v>-861045.73</v>
      </c>
      <c r="M25" s="12">
        <f t="shared" si="3"/>
        <v>0</v>
      </c>
      <c r="N25" s="21">
        <f t="shared" si="3"/>
        <v>845663</v>
      </c>
      <c r="O25" s="38">
        <f t="shared" si="3"/>
        <v>0</v>
      </c>
      <c r="P25" s="12">
        <f t="shared" si="3"/>
        <v>541054.58</v>
      </c>
      <c r="Q25" s="12">
        <f t="shared" si="3"/>
        <v>0</v>
      </c>
      <c r="R25" s="21">
        <f t="shared" si="3"/>
        <v>7355.75</v>
      </c>
      <c r="S25" s="38">
        <f t="shared" si="3"/>
        <v>0</v>
      </c>
      <c r="T25" s="28">
        <f t="shared" si="3"/>
        <v>1886153.69</v>
      </c>
      <c r="U25" s="17">
        <f t="shared" si="3"/>
        <v>0</v>
      </c>
      <c r="V25" s="21">
        <f t="shared" si="3"/>
        <v>6553616.56</v>
      </c>
      <c r="W25" s="12">
        <f t="shared" si="3"/>
        <v>3206451.54</v>
      </c>
      <c r="X25" s="12">
        <f t="shared" si="3"/>
        <v>-3347165.02</v>
      </c>
    </row>
    <row r="26" ht="12">
      <c r="A26" s="3"/>
    </row>
    <row r="27" ht="12">
      <c r="A27" s="3"/>
    </row>
    <row r="28" ht="12">
      <c r="A28" s="3"/>
    </row>
    <row r="29" ht="12">
      <c r="A29" s="3"/>
    </row>
  </sheetData>
  <sheetProtection/>
  <mergeCells count="10">
    <mergeCell ref="W5:W6"/>
    <mergeCell ref="V5:V6"/>
    <mergeCell ref="X4:X6"/>
    <mergeCell ref="A2:X2"/>
    <mergeCell ref="V1:X1"/>
    <mergeCell ref="D4:U4"/>
    <mergeCell ref="V4:W4"/>
    <mergeCell ref="A4:A6"/>
    <mergeCell ref="B4:B5"/>
    <mergeCell ref="C4:C5"/>
  </mergeCells>
  <printOptions/>
  <pageMargins left="0" right="0" top="0.5905511811023623" bottom="0" header="0.31496062992125984" footer="0.31496062992125984"/>
  <pageSetup horizontalDpi="600" verticalDpi="600" orientation="landscape" paperSize="9" scale="61" r:id="rId1"/>
  <ignoredErrors>
    <ignoredError sqref="B25:K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pane xSplit="1" topLeftCell="B1" activePane="topRight" state="frozen"/>
      <selection pane="topLeft" activeCell="A2" sqref="A2:IV2"/>
      <selection pane="topRight" activeCell="A2" sqref="A2:IV2"/>
    </sheetView>
  </sheetViews>
  <sheetFormatPr defaultColWidth="9.140625" defaultRowHeight="15"/>
  <cols>
    <col min="1" max="1" width="18.8515625" style="1" customWidth="1"/>
    <col min="2" max="5" width="10.7109375" style="1" customWidth="1"/>
    <col min="6" max="7" width="8.7109375" style="1" customWidth="1"/>
    <col min="8" max="9" width="9.7109375" style="1" customWidth="1"/>
    <col min="10" max="11" width="8.7109375" style="1" customWidth="1"/>
    <col min="12" max="19" width="9.7109375" style="1" customWidth="1"/>
    <col min="20" max="21" width="8.28125" style="1" customWidth="1"/>
    <col min="22" max="23" width="10.7109375" style="1" customWidth="1"/>
    <col min="24" max="24" width="7.7109375" style="1" customWidth="1"/>
    <col min="25" max="16384" width="9.140625" style="1" customWidth="1"/>
  </cols>
  <sheetData>
    <row r="1" spans="22:24" ht="24.75" customHeight="1">
      <c r="V1" s="155" t="s">
        <v>29</v>
      </c>
      <c r="W1" s="155"/>
      <c r="X1" s="155"/>
    </row>
    <row r="2" spans="1:24" ht="30.75" customHeight="1">
      <c r="A2" s="153" t="s">
        <v>100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ht="12">
      <c r="X3" s="85" t="s">
        <v>51</v>
      </c>
    </row>
    <row r="4" spans="1:24" ht="18" customHeight="1">
      <c r="A4" s="158" t="s">
        <v>0</v>
      </c>
      <c r="B4" s="151" t="s">
        <v>1</v>
      </c>
      <c r="C4" s="159" t="s">
        <v>21</v>
      </c>
      <c r="D4" s="156" t="s">
        <v>24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2" t="s">
        <v>25</v>
      </c>
      <c r="W4" s="151"/>
      <c r="X4" s="151" t="s">
        <v>26</v>
      </c>
    </row>
    <row r="5" spans="1:24" ht="40.5" customHeight="1">
      <c r="A5" s="158"/>
      <c r="B5" s="151"/>
      <c r="C5" s="159"/>
      <c r="D5" s="22" t="s">
        <v>20</v>
      </c>
      <c r="E5" s="13" t="s">
        <v>2</v>
      </c>
      <c r="F5" s="22" t="s">
        <v>20</v>
      </c>
      <c r="G5" s="34" t="s">
        <v>2</v>
      </c>
      <c r="H5" s="24" t="s">
        <v>20</v>
      </c>
      <c r="I5" s="4" t="s">
        <v>2</v>
      </c>
      <c r="J5" s="22" t="s">
        <v>20</v>
      </c>
      <c r="K5" s="34" t="s">
        <v>2</v>
      </c>
      <c r="L5" s="4" t="s">
        <v>20</v>
      </c>
      <c r="M5" s="4" t="s">
        <v>2</v>
      </c>
      <c r="N5" s="22" t="s">
        <v>20</v>
      </c>
      <c r="O5" s="34" t="s">
        <v>2</v>
      </c>
      <c r="P5" s="4" t="s">
        <v>20</v>
      </c>
      <c r="Q5" s="4" t="s">
        <v>2</v>
      </c>
      <c r="R5" s="22" t="s">
        <v>20</v>
      </c>
      <c r="S5" s="34" t="s">
        <v>2</v>
      </c>
      <c r="T5" s="24" t="s">
        <v>20</v>
      </c>
      <c r="U5" s="13" t="s">
        <v>2</v>
      </c>
      <c r="V5" s="152" t="s">
        <v>1</v>
      </c>
      <c r="W5" s="151" t="s">
        <v>28</v>
      </c>
      <c r="X5" s="151"/>
    </row>
    <row r="6" spans="1:24" ht="16.5" customHeight="1">
      <c r="A6" s="158"/>
      <c r="B6" s="5">
        <v>44559</v>
      </c>
      <c r="C6" s="14">
        <v>44571</v>
      </c>
      <c r="D6" s="18">
        <v>44621</v>
      </c>
      <c r="E6" s="31">
        <v>44621</v>
      </c>
      <c r="F6" s="18">
        <v>44697</v>
      </c>
      <c r="G6" s="42">
        <v>44697</v>
      </c>
      <c r="H6" s="25">
        <v>44712</v>
      </c>
      <c r="I6" s="6">
        <v>44712</v>
      </c>
      <c r="J6" s="18">
        <v>44741</v>
      </c>
      <c r="K6" s="42">
        <v>44741</v>
      </c>
      <c r="L6" s="6">
        <v>44813</v>
      </c>
      <c r="M6" s="6">
        <v>44813</v>
      </c>
      <c r="N6" s="18">
        <v>44859</v>
      </c>
      <c r="O6" s="42">
        <v>44859</v>
      </c>
      <c r="P6" s="6">
        <v>44910</v>
      </c>
      <c r="Q6" s="6">
        <v>44910</v>
      </c>
      <c r="R6" s="18">
        <v>44922</v>
      </c>
      <c r="S6" s="42">
        <v>44922</v>
      </c>
      <c r="T6" s="25">
        <v>44924</v>
      </c>
      <c r="U6" s="31">
        <v>44924</v>
      </c>
      <c r="V6" s="152"/>
      <c r="W6" s="151"/>
      <c r="X6" s="151"/>
    </row>
    <row r="7" spans="1:24" s="10" customFormat="1" ht="10.5">
      <c r="A7" s="8">
        <v>1</v>
      </c>
      <c r="B7" s="9">
        <v>2</v>
      </c>
      <c r="C7" s="15">
        <v>3</v>
      </c>
      <c r="D7" s="19">
        <v>4</v>
      </c>
      <c r="E7" s="32">
        <v>5</v>
      </c>
      <c r="F7" s="19">
        <v>6</v>
      </c>
      <c r="G7" s="36">
        <v>7</v>
      </c>
      <c r="H7" s="26">
        <v>8</v>
      </c>
      <c r="I7" s="8">
        <v>9</v>
      </c>
      <c r="J7" s="19">
        <v>10</v>
      </c>
      <c r="K7" s="36">
        <v>11</v>
      </c>
      <c r="L7" s="8">
        <v>12</v>
      </c>
      <c r="M7" s="8">
        <v>13</v>
      </c>
      <c r="N7" s="19">
        <v>14</v>
      </c>
      <c r="O7" s="36">
        <v>15</v>
      </c>
      <c r="P7" s="8">
        <v>16</v>
      </c>
      <c r="Q7" s="8">
        <v>17</v>
      </c>
      <c r="R7" s="19">
        <v>18</v>
      </c>
      <c r="S7" s="36">
        <v>19</v>
      </c>
      <c r="T7" s="26">
        <v>20</v>
      </c>
      <c r="U7" s="32">
        <v>21</v>
      </c>
      <c r="V7" s="40">
        <v>22</v>
      </c>
      <c r="W7" s="9">
        <v>23</v>
      </c>
      <c r="X7" s="9" t="s">
        <v>27</v>
      </c>
    </row>
    <row r="8" spans="1:24" s="2" customFormat="1" ht="15.75" customHeight="1">
      <c r="A8" s="41" t="s">
        <v>30</v>
      </c>
      <c r="B8" s="11"/>
      <c r="C8" s="16"/>
      <c r="D8" s="33">
        <v>57521.35</v>
      </c>
      <c r="E8" s="37">
        <v>57521.35</v>
      </c>
      <c r="F8" s="33"/>
      <c r="G8" s="37"/>
      <c r="H8" s="27"/>
      <c r="I8" s="11"/>
      <c r="J8" s="20">
        <v>76678.14</v>
      </c>
      <c r="K8" s="37">
        <v>76678.14</v>
      </c>
      <c r="L8" s="11"/>
      <c r="M8" s="11"/>
      <c r="N8" s="20">
        <v>626.65</v>
      </c>
      <c r="O8" s="37">
        <v>626.65</v>
      </c>
      <c r="P8" s="11"/>
      <c r="Q8" s="11"/>
      <c r="R8" s="20"/>
      <c r="S8" s="37"/>
      <c r="T8" s="27"/>
      <c r="U8" s="16"/>
      <c r="V8" s="20">
        <f>B8+D8+F8+H8+J8+L8+N8+P8+R8+T8</f>
        <v>134826.13999999998</v>
      </c>
      <c r="W8" s="11">
        <f>C8+E8+G8+I8+K8+M8+O8+Q8+S8+U8</f>
        <v>134826.13999999998</v>
      </c>
      <c r="X8" s="11">
        <f>W8-V8</f>
        <v>0</v>
      </c>
    </row>
    <row r="9" spans="1:24" s="2" customFormat="1" ht="15.75" customHeight="1">
      <c r="A9" s="41" t="s">
        <v>31</v>
      </c>
      <c r="B9" s="11"/>
      <c r="C9" s="16"/>
      <c r="D9" s="33">
        <v>135557.42</v>
      </c>
      <c r="E9" s="37">
        <v>135557.42</v>
      </c>
      <c r="F9" s="33"/>
      <c r="G9" s="37"/>
      <c r="H9" s="27"/>
      <c r="I9" s="11"/>
      <c r="J9" s="20"/>
      <c r="K9" s="37"/>
      <c r="L9" s="11"/>
      <c r="M9" s="11"/>
      <c r="N9" s="20"/>
      <c r="O9" s="37"/>
      <c r="P9" s="11"/>
      <c r="Q9" s="11"/>
      <c r="R9" s="20"/>
      <c r="S9" s="37"/>
      <c r="T9" s="27"/>
      <c r="U9" s="16"/>
      <c r="V9" s="20">
        <f aca="true" t="shared" si="0" ref="V9:V23">B9+D9+F9+H9+J9+L9+N9+P9+R9+T9</f>
        <v>135557.42</v>
      </c>
      <c r="W9" s="11">
        <f aca="true" t="shared" si="1" ref="W9:W23">C9+E9+G9+I9+K9+M9+O9+Q9+S9+U9</f>
        <v>135557.42</v>
      </c>
      <c r="X9" s="11">
        <f>W9-V9</f>
        <v>0</v>
      </c>
    </row>
    <row r="10" spans="1:24" s="2" customFormat="1" ht="15.75" customHeight="1">
      <c r="A10" s="7" t="s">
        <v>4</v>
      </c>
      <c r="B10" s="11"/>
      <c r="C10" s="16"/>
      <c r="D10" s="33"/>
      <c r="E10" s="37"/>
      <c r="F10" s="33"/>
      <c r="G10" s="37"/>
      <c r="H10" s="27"/>
      <c r="I10" s="11"/>
      <c r="J10" s="20"/>
      <c r="K10" s="37"/>
      <c r="L10" s="11"/>
      <c r="M10" s="11"/>
      <c r="N10" s="20"/>
      <c r="O10" s="37"/>
      <c r="P10" s="11"/>
      <c r="Q10" s="11"/>
      <c r="R10" s="20">
        <v>3928.44</v>
      </c>
      <c r="S10" s="37">
        <v>3928.44</v>
      </c>
      <c r="T10" s="27"/>
      <c r="U10" s="16"/>
      <c r="V10" s="20">
        <f t="shared" si="0"/>
        <v>3928.44</v>
      </c>
      <c r="W10" s="11">
        <f t="shared" si="1"/>
        <v>3928.44</v>
      </c>
      <c r="X10" s="11">
        <f aca="true" t="shared" si="2" ref="X10:X23">W10-V10</f>
        <v>0</v>
      </c>
    </row>
    <row r="11" spans="1:24" s="2" customFormat="1" ht="15.75" customHeight="1">
      <c r="A11" s="7" t="s">
        <v>5</v>
      </c>
      <c r="B11" s="11"/>
      <c r="C11" s="16"/>
      <c r="D11" s="33"/>
      <c r="E11" s="37"/>
      <c r="F11" s="33"/>
      <c r="G11" s="37"/>
      <c r="H11" s="27"/>
      <c r="I11" s="11"/>
      <c r="J11" s="20"/>
      <c r="K11" s="37"/>
      <c r="L11" s="11"/>
      <c r="M11" s="11"/>
      <c r="N11" s="20"/>
      <c r="O11" s="37"/>
      <c r="P11" s="11"/>
      <c r="Q11" s="11"/>
      <c r="R11" s="20">
        <v>1186.39</v>
      </c>
      <c r="S11" s="37">
        <v>1186.39</v>
      </c>
      <c r="T11" s="27"/>
      <c r="U11" s="16"/>
      <c r="V11" s="20">
        <f t="shared" si="0"/>
        <v>1186.39</v>
      </c>
      <c r="W11" s="11">
        <f t="shared" si="1"/>
        <v>1186.39</v>
      </c>
      <c r="X11" s="11">
        <f t="shared" si="2"/>
        <v>0</v>
      </c>
    </row>
    <row r="12" spans="1:24" s="2" customFormat="1" ht="15.75" customHeight="1">
      <c r="A12" s="41" t="s">
        <v>32</v>
      </c>
      <c r="B12" s="16"/>
      <c r="C12" s="16"/>
      <c r="D12" s="33"/>
      <c r="E12" s="37"/>
      <c r="F12" s="43">
        <v>1253333</v>
      </c>
      <c r="G12" s="44">
        <v>1253333</v>
      </c>
      <c r="H12" s="27"/>
      <c r="I12" s="11"/>
      <c r="J12" s="20"/>
      <c r="K12" s="37"/>
      <c r="L12" s="11"/>
      <c r="M12" s="11"/>
      <c r="N12" s="20"/>
      <c r="O12" s="37"/>
      <c r="P12" s="11"/>
      <c r="Q12" s="11"/>
      <c r="R12" s="20"/>
      <c r="S12" s="37"/>
      <c r="T12" s="49">
        <v>-274201</v>
      </c>
      <c r="U12" s="50">
        <v>-274201</v>
      </c>
      <c r="V12" s="20">
        <f t="shared" si="0"/>
        <v>979132</v>
      </c>
      <c r="W12" s="11">
        <f t="shared" si="1"/>
        <v>979132</v>
      </c>
      <c r="X12" s="11">
        <f>W12-V12</f>
        <v>0</v>
      </c>
    </row>
    <row r="13" spans="1:24" s="2" customFormat="1" ht="15.75" customHeight="1">
      <c r="A13" s="41" t="s">
        <v>34</v>
      </c>
      <c r="B13" s="16"/>
      <c r="C13" s="16"/>
      <c r="D13" s="33"/>
      <c r="E13" s="37"/>
      <c r="F13" s="43"/>
      <c r="G13" s="44"/>
      <c r="H13" s="27"/>
      <c r="I13" s="11"/>
      <c r="J13" s="20"/>
      <c r="K13" s="37"/>
      <c r="L13" s="11"/>
      <c r="M13" s="11"/>
      <c r="N13" s="20"/>
      <c r="O13" s="37"/>
      <c r="P13" s="11">
        <v>13333.33</v>
      </c>
      <c r="Q13" s="11">
        <v>13333.33</v>
      </c>
      <c r="R13" s="20"/>
      <c r="S13" s="37"/>
      <c r="T13" s="49"/>
      <c r="U13" s="50"/>
      <c r="V13" s="20">
        <f t="shared" si="0"/>
        <v>13333.33</v>
      </c>
      <c r="W13" s="11">
        <f t="shared" si="1"/>
        <v>13333.33</v>
      </c>
      <c r="X13" s="11">
        <f>W13-V13</f>
        <v>0</v>
      </c>
    </row>
    <row r="14" spans="1:24" s="2" customFormat="1" ht="15.75" customHeight="1">
      <c r="A14" s="7" t="s">
        <v>6</v>
      </c>
      <c r="B14" s="16">
        <v>825829</v>
      </c>
      <c r="C14" s="16">
        <v>825829</v>
      </c>
      <c r="D14" s="33"/>
      <c r="E14" s="37"/>
      <c r="F14" s="43"/>
      <c r="G14" s="44"/>
      <c r="H14" s="27"/>
      <c r="I14" s="11"/>
      <c r="J14" s="20"/>
      <c r="K14" s="37"/>
      <c r="L14" s="11">
        <v>124257.5</v>
      </c>
      <c r="M14" s="11">
        <v>124257.5</v>
      </c>
      <c r="N14" s="20">
        <v>47002</v>
      </c>
      <c r="O14" s="37">
        <v>47002</v>
      </c>
      <c r="P14" s="11">
        <v>119061.85</v>
      </c>
      <c r="Q14" s="11">
        <v>119061.85</v>
      </c>
      <c r="R14" s="20"/>
      <c r="S14" s="37"/>
      <c r="T14" s="49"/>
      <c r="U14" s="50"/>
      <c r="V14" s="20">
        <f t="shared" si="0"/>
        <v>1116150.35</v>
      </c>
      <c r="W14" s="11">
        <f t="shared" si="1"/>
        <v>1116150.35</v>
      </c>
      <c r="X14" s="11">
        <f t="shared" si="2"/>
        <v>0</v>
      </c>
    </row>
    <row r="15" spans="1:24" s="2" customFormat="1" ht="15.75" customHeight="1">
      <c r="A15" s="7" t="s">
        <v>19</v>
      </c>
      <c r="B15" s="16">
        <v>249400.36</v>
      </c>
      <c r="C15" s="16">
        <v>249400.36</v>
      </c>
      <c r="D15" s="33"/>
      <c r="E15" s="37"/>
      <c r="F15" s="43"/>
      <c r="G15" s="44"/>
      <c r="H15" s="27">
        <v>1024.72</v>
      </c>
      <c r="I15" s="11">
        <v>1024.72</v>
      </c>
      <c r="J15" s="20"/>
      <c r="K15" s="37"/>
      <c r="L15" s="11">
        <v>36501.04</v>
      </c>
      <c r="M15" s="11">
        <v>36501.04</v>
      </c>
      <c r="N15" s="20">
        <v>14194.61</v>
      </c>
      <c r="O15" s="37">
        <v>14194.61</v>
      </c>
      <c r="P15" s="11">
        <v>36981.39</v>
      </c>
      <c r="Q15" s="11">
        <v>36981.39</v>
      </c>
      <c r="R15" s="20"/>
      <c r="S15" s="37"/>
      <c r="T15" s="49"/>
      <c r="U15" s="50"/>
      <c r="V15" s="20">
        <f t="shared" si="0"/>
        <v>338102.12</v>
      </c>
      <c r="W15" s="11">
        <f t="shared" si="1"/>
        <v>338102.12</v>
      </c>
      <c r="X15" s="11">
        <f t="shared" si="2"/>
        <v>0</v>
      </c>
    </row>
    <row r="16" spans="1:24" s="2" customFormat="1" ht="15.75" customHeight="1">
      <c r="A16" s="7" t="s">
        <v>8</v>
      </c>
      <c r="B16" s="16">
        <v>31620.82</v>
      </c>
      <c r="C16" s="16">
        <v>31620.82</v>
      </c>
      <c r="D16" s="33">
        <v>207715</v>
      </c>
      <c r="E16" s="37">
        <v>207715</v>
      </c>
      <c r="F16" s="43"/>
      <c r="G16" s="44"/>
      <c r="H16" s="27">
        <v>286127.35</v>
      </c>
      <c r="I16" s="11">
        <v>286127.35</v>
      </c>
      <c r="J16" s="20"/>
      <c r="K16" s="37"/>
      <c r="L16" s="11">
        <v>9360</v>
      </c>
      <c r="M16" s="11">
        <v>9360</v>
      </c>
      <c r="N16" s="20">
        <v>1915.18</v>
      </c>
      <c r="O16" s="37">
        <v>1915.18</v>
      </c>
      <c r="P16" s="11">
        <v>170184.33</v>
      </c>
      <c r="Q16" s="11">
        <v>170184.33</v>
      </c>
      <c r="R16" s="20">
        <v>550</v>
      </c>
      <c r="S16" s="37">
        <v>550</v>
      </c>
      <c r="T16" s="49"/>
      <c r="U16" s="50"/>
      <c r="V16" s="20">
        <f t="shared" si="0"/>
        <v>707472.6799999999</v>
      </c>
      <c r="W16" s="11">
        <f t="shared" si="1"/>
        <v>707472.6799999999</v>
      </c>
      <c r="X16" s="11">
        <f t="shared" si="2"/>
        <v>0</v>
      </c>
    </row>
    <row r="17" spans="1:24" s="2" customFormat="1" ht="15.75" customHeight="1">
      <c r="A17" s="7" t="s">
        <v>9</v>
      </c>
      <c r="B17" s="16">
        <v>262227.27</v>
      </c>
      <c r="C17" s="16">
        <v>262227.27</v>
      </c>
      <c r="D17" s="33">
        <v>300000</v>
      </c>
      <c r="E17" s="37">
        <v>300000</v>
      </c>
      <c r="F17" s="43"/>
      <c r="G17" s="44"/>
      <c r="H17" s="27"/>
      <c r="I17" s="11"/>
      <c r="J17" s="20"/>
      <c r="K17" s="37"/>
      <c r="L17" s="11"/>
      <c r="M17" s="11"/>
      <c r="N17" s="20">
        <v>2790</v>
      </c>
      <c r="O17" s="37">
        <v>2790</v>
      </c>
      <c r="P17" s="11"/>
      <c r="Q17" s="11"/>
      <c r="R17" s="20">
        <v>50000</v>
      </c>
      <c r="S17" s="37">
        <v>50000</v>
      </c>
      <c r="T17" s="49"/>
      <c r="U17" s="50"/>
      <c r="V17" s="20">
        <f t="shared" si="0"/>
        <v>615017.27</v>
      </c>
      <c r="W17" s="11">
        <f t="shared" si="1"/>
        <v>615017.27</v>
      </c>
      <c r="X17" s="11">
        <f t="shared" si="2"/>
        <v>0</v>
      </c>
    </row>
    <row r="18" spans="1:24" s="2" customFormat="1" ht="15.75" customHeight="1">
      <c r="A18" s="7" t="s">
        <v>10</v>
      </c>
      <c r="B18" s="16"/>
      <c r="C18" s="16"/>
      <c r="D18" s="20"/>
      <c r="E18" s="37"/>
      <c r="F18" s="45"/>
      <c r="G18" s="44"/>
      <c r="H18" s="27">
        <v>8555.03</v>
      </c>
      <c r="I18" s="11">
        <v>8555.03</v>
      </c>
      <c r="J18" s="20">
        <v>12157.29</v>
      </c>
      <c r="K18" s="37">
        <v>12157.29</v>
      </c>
      <c r="L18" s="11">
        <v>1057.9</v>
      </c>
      <c r="M18" s="11">
        <v>1057.9</v>
      </c>
      <c r="N18" s="20">
        <v>2393</v>
      </c>
      <c r="O18" s="37">
        <v>2393</v>
      </c>
      <c r="P18" s="11">
        <v>0.82</v>
      </c>
      <c r="Q18" s="11">
        <v>0.82</v>
      </c>
      <c r="R18" s="20"/>
      <c r="S18" s="37"/>
      <c r="T18" s="49"/>
      <c r="U18" s="50"/>
      <c r="V18" s="20">
        <f t="shared" si="0"/>
        <v>24164.04</v>
      </c>
      <c r="W18" s="11">
        <f t="shared" si="1"/>
        <v>24164.04</v>
      </c>
      <c r="X18" s="11">
        <f t="shared" si="2"/>
        <v>0</v>
      </c>
    </row>
    <row r="19" spans="1:24" s="2" customFormat="1" ht="15.75" customHeight="1">
      <c r="A19" s="7" t="s">
        <v>12</v>
      </c>
      <c r="B19" s="16">
        <v>297396</v>
      </c>
      <c r="C19" s="16">
        <v>297396</v>
      </c>
      <c r="D19" s="20"/>
      <c r="E19" s="37"/>
      <c r="F19" s="45"/>
      <c r="G19" s="44"/>
      <c r="H19" s="27"/>
      <c r="I19" s="11"/>
      <c r="J19" s="20"/>
      <c r="K19" s="37"/>
      <c r="L19" s="11">
        <v>169292.51</v>
      </c>
      <c r="M19" s="11">
        <v>169292.51</v>
      </c>
      <c r="N19" s="20">
        <v>38877.49</v>
      </c>
      <c r="O19" s="37">
        <v>38877.49</v>
      </c>
      <c r="P19" s="11">
        <v>-58149.92</v>
      </c>
      <c r="Q19" s="11">
        <v>-58149.92</v>
      </c>
      <c r="R19" s="20"/>
      <c r="S19" s="37"/>
      <c r="T19" s="49"/>
      <c r="U19" s="50"/>
      <c r="V19" s="20">
        <f t="shared" si="0"/>
        <v>447416.08</v>
      </c>
      <c r="W19" s="11">
        <f t="shared" si="1"/>
        <v>447416.08</v>
      </c>
      <c r="X19" s="11">
        <f t="shared" si="2"/>
        <v>0</v>
      </c>
    </row>
    <row r="20" spans="1:24" s="2" customFormat="1" ht="15.75" customHeight="1">
      <c r="A20" s="7" t="s">
        <v>14</v>
      </c>
      <c r="B20" s="16">
        <v>89813.59</v>
      </c>
      <c r="C20" s="16">
        <v>89813.59</v>
      </c>
      <c r="D20" s="20"/>
      <c r="E20" s="37"/>
      <c r="F20" s="45"/>
      <c r="G20" s="44"/>
      <c r="H20" s="27">
        <v>2740.5</v>
      </c>
      <c r="I20" s="11">
        <v>2740.5</v>
      </c>
      <c r="J20" s="20"/>
      <c r="K20" s="37"/>
      <c r="L20" s="11">
        <v>48385.84</v>
      </c>
      <c r="M20" s="11">
        <v>48385.84</v>
      </c>
      <c r="N20" s="20">
        <v>11741</v>
      </c>
      <c r="O20" s="37">
        <v>11741</v>
      </c>
      <c r="P20" s="11">
        <v>-16723.41</v>
      </c>
      <c r="Q20" s="11">
        <v>-16723.41</v>
      </c>
      <c r="R20" s="20"/>
      <c r="S20" s="37"/>
      <c r="T20" s="49"/>
      <c r="U20" s="50"/>
      <c r="V20" s="20">
        <f t="shared" si="0"/>
        <v>135957.52</v>
      </c>
      <c r="W20" s="11">
        <f t="shared" si="1"/>
        <v>135957.52</v>
      </c>
      <c r="X20" s="11">
        <f t="shared" si="2"/>
        <v>0</v>
      </c>
    </row>
    <row r="21" spans="1:24" s="2" customFormat="1" ht="15.75" customHeight="1">
      <c r="A21" s="7" t="s">
        <v>15</v>
      </c>
      <c r="B21" s="16">
        <v>4563.2</v>
      </c>
      <c r="C21" s="16">
        <v>4563.2</v>
      </c>
      <c r="D21" s="20"/>
      <c r="E21" s="37"/>
      <c r="F21" s="45"/>
      <c r="G21" s="44"/>
      <c r="H21" s="27">
        <v>93278.24</v>
      </c>
      <c r="I21" s="11">
        <v>93278.24</v>
      </c>
      <c r="J21" s="20"/>
      <c r="K21" s="37"/>
      <c r="L21" s="11">
        <v>9360</v>
      </c>
      <c r="M21" s="11">
        <v>9360</v>
      </c>
      <c r="N21" s="20">
        <v>-2223.2</v>
      </c>
      <c r="O21" s="37">
        <v>-2223.2</v>
      </c>
      <c r="P21" s="11">
        <v>30000</v>
      </c>
      <c r="Q21" s="11">
        <v>30000</v>
      </c>
      <c r="R21" s="20"/>
      <c r="S21" s="37"/>
      <c r="T21" s="49"/>
      <c r="U21" s="50"/>
      <c r="V21" s="20">
        <f t="shared" si="0"/>
        <v>134978.24</v>
      </c>
      <c r="W21" s="11">
        <f t="shared" si="1"/>
        <v>134978.24</v>
      </c>
      <c r="X21" s="11">
        <f t="shared" si="2"/>
        <v>0</v>
      </c>
    </row>
    <row r="22" spans="1:24" s="2" customFormat="1" ht="15.75" customHeight="1">
      <c r="A22" s="7" t="s">
        <v>16</v>
      </c>
      <c r="B22" s="16">
        <v>110122.96</v>
      </c>
      <c r="C22" s="16">
        <v>110122.96</v>
      </c>
      <c r="D22" s="33">
        <v>462948.86</v>
      </c>
      <c r="E22" s="37">
        <v>462948.86</v>
      </c>
      <c r="F22" s="43"/>
      <c r="G22" s="46"/>
      <c r="H22" s="27">
        <v>84286.74</v>
      </c>
      <c r="I22" s="11">
        <v>84286.74</v>
      </c>
      <c r="J22" s="20"/>
      <c r="K22" s="37"/>
      <c r="L22" s="11"/>
      <c r="M22" s="11"/>
      <c r="N22" s="20">
        <v>-2563.84</v>
      </c>
      <c r="O22" s="37">
        <v>-2563.84</v>
      </c>
      <c r="P22" s="11"/>
      <c r="Q22" s="11"/>
      <c r="R22" s="20"/>
      <c r="S22" s="37"/>
      <c r="T22" s="49"/>
      <c r="U22" s="50"/>
      <c r="V22" s="20">
        <f t="shared" si="0"/>
        <v>654794.72</v>
      </c>
      <c r="W22" s="11">
        <f>C22+E22+G22+I22+K22+M22+O22+Q22+S22+U22</f>
        <v>654794.72</v>
      </c>
      <c r="X22" s="11">
        <f t="shared" si="2"/>
        <v>0</v>
      </c>
    </row>
    <row r="23" spans="1:24" s="2" customFormat="1" ht="15.75" customHeight="1">
      <c r="A23" s="41" t="s">
        <v>33</v>
      </c>
      <c r="B23" s="11"/>
      <c r="C23" s="16"/>
      <c r="D23" s="20"/>
      <c r="E23" s="37"/>
      <c r="F23" s="45"/>
      <c r="G23" s="44"/>
      <c r="H23" s="27">
        <v>686.56</v>
      </c>
      <c r="I23" s="11">
        <v>686.56</v>
      </c>
      <c r="J23" s="20">
        <v>622.84</v>
      </c>
      <c r="K23" s="37">
        <v>622.84</v>
      </c>
      <c r="L23" s="11"/>
      <c r="M23" s="11"/>
      <c r="N23" s="20"/>
      <c r="O23" s="37"/>
      <c r="P23" s="11"/>
      <c r="Q23" s="11"/>
      <c r="R23" s="20"/>
      <c r="S23" s="37"/>
      <c r="T23" s="49"/>
      <c r="U23" s="50"/>
      <c r="V23" s="20">
        <f t="shared" si="0"/>
        <v>1309.4</v>
      </c>
      <c r="W23" s="11">
        <f t="shared" si="1"/>
        <v>1309.4</v>
      </c>
      <c r="X23" s="11">
        <f t="shared" si="2"/>
        <v>0</v>
      </c>
    </row>
    <row r="24" spans="1:24" s="30" customFormat="1" ht="18" customHeight="1">
      <c r="A24" s="29"/>
      <c r="B24" s="12">
        <f aca="true" t="shared" si="3" ref="B24:X24">SUM(B8:B23)</f>
        <v>1870973.2</v>
      </c>
      <c r="C24" s="17">
        <f t="shared" si="3"/>
        <v>1870973.2</v>
      </c>
      <c r="D24" s="21">
        <f t="shared" si="3"/>
        <v>1163742.63</v>
      </c>
      <c r="E24" s="38">
        <f t="shared" si="3"/>
        <v>1163742.63</v>
      </c>
      <c r="F24" s="47">
        <f t="shared" si="3"/>
        <v>1253333</v>
      </c>
      <c r="G24" s="48">
        <f t="shared" si="3"/>
        <v>1253333</v>
      </c>
      <c r="H24" s="28">
        <f t="shared" si="3"/>
        <v>476699.13999999996</v>
      </c>
      <c r="I24" s="12">
        <f t="shared" si="3"/>
        <v>476699.13999999996</v>
      </c>
      <c r="J24" s="21">
        <f t="shared" si="3"/>
        <v>89458.26999999999</v>
      </c>
      <c r="K24" s="38">
        <f t="shared" si="3"/>
        <v>89458.26999999999</v>
      </c>
      <c r="L24" s="12">
        <f t="shared" si="3"/>
        <v>398214.79000000004</v>
      </c>
      <c r="M24" s="12">
        <f t="shared" si="3"/>
        <v>398214.79000000004</v>
      </c>
      <c r="N24" s="21">
        <f t="shared" si="3"/>
        <v>114752.89</v>
      </c>
      <c r="O24" s="38">
        <f t="shared" si="3"/>
        <v>114752.89</v>
      </c>
      <c r="P24" s="12">
        <f t="shared" si="3"/>
        <v>294688.3900000001</v>
      </c>
      <c r="Q24" s="12">
        <f t="shared" si="3"/>
        <v>294688.3900000001</v>
      </c>
      <c r="R24" s="21">
        <f t="shared" si="3"/>
        <v>55664.83</v>
      </c>
      <c r="S24" s="38">
        <f t="shared" si="3"/>
        <v>55664.83</v>
      </c>
      <c r="T24" s="51">
        <f t="shared" si="3"/>
        <v>-274201</v>
      </c>
      <c r="U24" s="52">
        <f t="shared" si="3"/>
        <v>-274201</v>
      </c>
      <c r="V24" s="21">
        <f t="shared" si="3"/>
        <v>5443326.14</v>
      </c>
      <c r="W24" s="12">
        <f t="shared" si="3"/>
        <v>5443326.14</v>
      </c>
      <c r="X24" s="12">
        <f t="shared" si="3"/>
        <v>0</v>
      </c>
    </row>
    <row r="25" ht="12">
      <c r="A25" s="3"/>
    </row>
    <row r="26" ht="12">
      <c r="A26" s="3"/>
    </row>
    <row r="27" ht="12">
      <c r="A27" s="3"/>
    </row>
    <row r="28" ht="12">
      <c r="A28" s="3"/>
    </row>
  </sheetData>
  <sheetProtection/>
  <mergeCells count="10">
    <mergeCell ref="V1:X1"/>
    <mergeCell ref="A2:X2"/>
    <mergeCell ref="A4:A6"/>
    <mergeCell ref="B4:B5"/>
    <mergeCell ref="C4:C5"/>
    <mergeCell ref="D4:U4"/>
    <mergeCell ref="V4:W4"/>
    <mergeCell ref="X4:X6"/>
    <mergeCell ref="V5:V6"/>
    <mergeCell ref="W5:W6"/>
  </mergeCells>
  <printOptions/>
  <pageMargins left="0" right="0" top="0.5905511811023623" bottom="0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C1">
      <selection activeCell="F12" sqref="F12"/>
    </sheetView>
  </sheetViews>
  <sheetFormatPr defaultColWidth="9.140625" defaultRowHeight="15"/>
  <cols>
    <col min="1" max="1" width="20.57421875" style="55" customWidth="1"/>
    <col min="2" max="13" width="11.7109375" style="54" customWidth="1"/>
    <col min="14" max="14" width="11.7109375" style="0" customWidth="1"/>
  </cols>
  <sheetData>
    <row r="1" spans="11:16" ht="27.75" customHeight="1">
      <c r="K1" s="83"/>
      <c r="L1" s="161" t="s">
        <v>35</v>
      </c>
      <c r="M1" s="161"/>
      <c r="N1" s="161"/>
      <c r="O1" s="84"/>
      <c r="P1" s="84"/>
    </row>
    <row r="2" spans="11:16" ht="12" customHeight="1">
      <c r="K2" s="83"/>
      <c r="L2" s="59"/>
      <c r="M2" s="59"/>
      <c r="N2" s="59"/>
      <c r="O2" s="84"/>
      <c r="P2" s="84"/>
    </row>
    <row r="3" spans="1:14" ht="30.75" customHeight="1">
      <c r="A3" s="162" t="s">
        <v>98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5" spans="1:14" ht="15">
      <c r="A5" s="53"/>
      <c r="N5" s="85" t="s">
        <v>51</v>
      </c>
    </row>
    <row r="6" spans="1:14" s="64" customFormat="1" ht="18" customHeight="1">
      <c r="A6" s="62"/>
      <c r="B6" s="63">
        <v>44228</v>
      </c>
      <c r="C6" s="63">
        <v>44256</v>
      </c>
      <c r="D6" s="63">
        <v>44287</v>
      </c>
      <c r="E6" s="63">
        <v>44317</v>
      </c>
      <c r="F6" s="63">
        <v>44348</v>
      </c>
      <c r="G6" s="63">
        <v>44378</v>
      </c>
      <c r="H6" s="63">
        <v>44409</v>
      </c>
      <c r="I6" s="63">
        <v>44440</v>
      </c>
      <c r="J6" s="63">
        <v>44470</v>
      </c>
      <c r="K6" s="63">
        <v>44501</v>
      </c>
      <c r="L6" s="63">
        <v>44531</v>
      </c>
      <c r="M6" s="67">
        <v>44562</v>
      </c>
      <c r="N6" s="71" t="s">
        <v>40</v>
      </c>
    </row>
    <row r="7" spans="1:14" ht="18" customHeight="1">
      <c r="A7" s="60" t="s">
        <v>37</v>
      </c>
      <c r="B7" s="61">
        <v>1274540.4</v>
      </c>
      <c r="C7" s="61">
        <f>B9</f>
        <v>1204390.4</v>
      </c>
      <c r="D7" s="61">
        <f>C9-7250.6</f>
        <v>1088875.91</v>
      </c>
      <c r="E7" s="61">
        <f>D9</f>
        <v>938767.1199999999</v>
      </c>
      <c r="F7" s="61">
        <f>E9</f>
        <v>749311.3599999999</v>
      </c>
      <c r="G7" s="61">
        <f>F9</f>
        <v>592444.4299999999</v>
      </c>
      <c r="H7" s="61">
        <f>G9</f>
        <v>290074.18999999994</v>
      </c>
      <c r="I7" s="61">
        <f>H9+245207.56</f>
        <v>358026.5199999999</v>
      </c>
      <c r="J7" s="61">
        <f>I9</f>
        <v>295112.8899999999</v>
      </c>
      <c r="K7" s="61">
        <f>J9</f>
        <v>175206.6999999999</v>
      </c>
      <c r="L7" s="61">
        <f>K9</f>
        <v>66850.5099999999</v>
      </c>
      <c r="M7" s="68">
        <f>L9+164309.81</f>
        <v>84620.21999999988</v>
      </c>
      <c r="N7" s="72">
        <f>1138589.02+354582.15+183636</f>
        <v>1676807.17</v>
      </c>
    </row>
    <row r="8" spans="1:14" ht="18" customHeight="1" thickBot="1">
      <c r="A8" s="76" t="s">
        <v>38</v>
      </c>
      <c r="B8" s="66">
        <v>70150</v>
      </c>
      <c r="C8" s="66">
        <v>108263.89</v>
      </c>
      <c r="D8" s="66">
        <f>124140.79+25968</f>
        <v>150108.78999999998</v>
      </c>
      <c r="E8" s="66">
        <f>166583.76+22872</f>
        <v>189455.76</v>
      </c>
      <c r="F8" s="66">
        <f>153479.93+3387</f>
        <v>156866.93</v>
      </c>
      <c r="G8" s="66">
        <v>302370.24</v>
      </c>
      <c r="H8" s="66">
        <v>177255.23</v>
      </c>
      <c r="I8" s="66">
        <v>62913.63</v>
      </c>
      <c r="J8" s="66">
        <v>119906.19</v>
      </c>
      <c r="K8" s="66">
        <v>108356.19</v>
      </c>
      <c r="L8" s="66">
        <v>146540.1</v>
      </c>
      <c r="M8" s="69">
        <v>101367.63</v>
      </c>
      <c r="N8" s="73">
        <f>SUM(B8:M8)</f>
        <v>1693554.58</v>
      </c>
    </row>
    <row r="9" spans="1:14" ht="18" customHeight="1" thickTop="1">
      <c r="A9" s="75" t="s">
        <v>39</v>
      </c>
      <c r="B9" s="65">
        <f>B7-B8</f>
        <v>1204390.4</v>
      </c>
      <c r="C9" s="65">
        <f aca="true" t="shared" si="0" ref="C9:M9">C7-C8</f>
        <v>1096126.51</v>
      </c>
      <c r="D9" s="65">
        <f t="shared" si="0"/>
        <v>938767.1199999999</v>
      </c>
      <c r="E9" s="65">
        <f t="shared" si="0"/>
        <v>749311.3599999999</v>
      </c>
      <c r="F9" s="65">
        <f t="shared" si="0"/>
        <v>592444.4299999999</v>
      </c>
      <c r="G9" s="65">
        <f t="shared" si="0"/>
        <v>290074.18999999994</v>
      </c>
      <c r="H9" s="65">
        <f t="shared" si="0"/>
        <v>112818.95999999993</v>
      </c>
      <c r="I9" s="65">
        <f t="shared" si="0"/>
        <v>295112.8899999999</v>
      </c>
      <c r="J9" s="65">
        <f t="shared" si="0"/>
        <v>175206.6999999999</v>
      </c>
      <c r="K9" s="65">
        <f t="shared" si="0"/>
        <v>66850.5099999999</v>
      </c>
      <c r="L9" s="65">
        <f t="shared" si="0"/>
        <v>-79689.59000000011</v>
      </c>
      <c r="M9" s="70">
        <f t="shared" si="0"/>
        <v>-16747.41000000012</v>
      </c>
      <c r="N9" s="74">
        <f>N7-N8</f>
        <v>-16747.41000000015</v>
      </c>
    </row>
    <row r="10" spans="1:14" ht="15">
      <c r="A10" s="79" t="s">
        <v>41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</row>
    <row r="11" spans="1:14" ht="27" customHeight="1">
      <c r="A11" s="77" t="s">
        <v>52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78"/>
    </row>
    <row r="12" spans="1:14" s="64" customFormat="1" ht="18" customHeight="1">
      <c r="A12" s="62"/>
      <c r="B12" s="63">
        <v>44228</v>
      </c>
      <c r="C12" s="63">
        <v>44256</v>
      </c>
      <c r="D12" s="63">
        <v>44287</v>
      </c>
      <c r="E12" s="63">
        <v>44317</v>
      </c>
      <c r="F12" s="63">
        <v>44348</v>
      </c>
      <c r="G12" s="63">
        <v>44378</v>
      </c>
      <c r="H12" s="63">
        <v>44409</v>
      </c>
      <c r="I12" s="63">
        <v>44440</v>
      </c>
      <c r="J12" s="63">
        <v>44470</v>
      </c>
      <c r="K12" s="63">
        <v>44501</v>
      </c>
      <c r="L12" s="63">
        <v>44531</v>
      </c>
      <c r="M12" s="67">
        <v>44562</v>
      </c>
      <c r="N12" s="71" t="s">
        <v>40</v>
      </c>
    </row>
    <row r="13" spans="1:14" ht="18" customHeight="1">
      <c r="A13" s="60" t="s">
        <v>37</v>
      </c>
      <c r="B13" s="61">
        <v>1274540.4</v>
      </c>
      <c r="C13" s="61">
        <f>B15</f>
        <v>1230390.47</v>
      </c>
      <c r="D13" s="61">
        <f>C15-7250.6</f>
        <v>1141876.0499999998</v>
      </c>
      <c r="E13" s="61">
        <f>D15</f>
        <v>1024567.3299999998</v>
      </c>
      <c r="F13" s="61">
        <f>E15</f>
        <v>867111.6299999999</v>
      </c>
      <c r="G13" s="61">
        <f>F15-297396</f>
        <v>452873.7699999999</v>
      </c>
      <c r="H13" s="61">
        <f>G15</f>
        <v>238933.59999999992</v>
      </c>
      <c r="I13" s="61">
        <f>H15+245207.56</f>
        <v>352824.5899999999</v>
      </c>
      <c r="J13" s="61">
        <f>I15</f>
        <v>304092.8299999999</v>
      </c>
      <c r="K13" s="61">
        <f>J15</f>
        <v>221736.7099999999</v>
      </c>
      <c r="L13" s="61">
        <f>K15</f>
        <v>139380.5899999999</v>
      </c>
      <c r="M13" s="68">
        <f>L15+107123.66</f>
        <v>142464.2199999999</v>
      </c>
      <c r="N13" s="72">
        <f>1138589.02+183636</f>
        <v>1322225.02</v>
      </c>
    </row>
    <row r="14" spans="1:14" ht="18" customHeight="1" thickBot="1">
      <c r="A14" s="76" t="s">
        <v>38</v>
      </c>
      <c r="B14" s="66">
        <f>70150-26000.07</f>
        <v>44149.93</v>
      </c>
      <c r="C14" s="66">
        <f>108263.89-27000.07</f>
        <v>81263.82</v>
      </c>
      <c r="D14" s="66">
        <f>124140.79-32800.07+25968</f>
        <v>117308.72</v>
      </c>
      <c r="E14" s="66">
        <f>166583.76-32000.06+22872</f>
        <v>157455.7</v>
      </c>
      <c r="F14" s="66">
        <f>153479.93-40025.07+3387</f>
        <v>116841.85999999999</v>
      </c>
      <c r="G14" s="66">
        <f>302370.24-88430.07</f>
        <v>213940.16999999998</v>
      </c>
      <c r="H14" s="66">
        <f>177255.23-45938.66</f>
        <v>131316.57</v>
      </c>
      <c r="I14" s="66">
        <f>62913.63-14181.87</f>
        <v>48731.759999999995</v>
      </c>
      <c r="J14" s="66">
        <f>119906.19-37550.07</f>
        <v>82356.12</v>
      </c>
      <c r="K14" s="66">
        <f>108356.19-26000.07</f>
        <v>82356.12</v>
      </c>
      <c r="L14" s="66">
        <f>146540.1-42500.07</f>
        <v>104040.03</v>
      </c>
      <c r="M14" s="69">
        <f>101367.63-26000.07</f>
        <v>75367.56</v>
      </c>
      <c r="N14" s="73">
        <f>SUM(B14:M14)</f>
        <v>1255128.36</v>
      </c>
    </row>
    <row r="15" spans="1:14" ht="18" customHeight="1" thickTop="1">
      <c r="A15" s="75" t="s">
        <v>39</v>
      </c>
      <c r="B15" s="65">
        <f aca="true" t="shared" si="1" ref="B15:N15">B13-B14</f>
        <v>1230390.47</v>
      </c>
      <c r="C15" s="65">
        <f t="shared" si="1"/>
        <v>1149126.65</v>
      </c>
      <c r="D15" s="65">
        <f t="shared" si="1"/>
        <v>1024567.3299999998</v>
      </c>
      <c r="E15" s="65">
        <f t="shared" si="1"/>
        <v>867111.6299999999</v>
      </c>
      <c r="F15" s="65">
        <f t="shared" si="1"/>
        <v>750269.7699999999</v>
      </c>
      <c r="G15" s="65">
        <f t="shared" si="1"/>
        <v>238933.59999999992</v>
      </c>
      <c r="H15" s="65">
        <f t="shared" si="1"/>
        <v>107617.02999999991</v>
      </c>
      <c r="I15" s="65">
        <f t="shared" si="1"/>
        <v>304092.8299999999</v>
      </c>
      <c r="J15" s="65">
        <f t="shared" si="1"/>
        <v>221736.7099999999</v>
      </c>
      <c r="K15" s="65">
        <f t="shared" si="1"/>
        <v>139380.5899999999</v>
      </c>
      <c r="L15" s="65">
        <f t="shared" si="1"/>
        <v>35340.55999999991</v>
      </c>
      <c r="M15" s="70">
        <f t="shared" si="1"/>
        <v>67096.65999999992</v>
      </c>
      <c r="N15" s="74">
        <f t="shared" si="1"/>
        <v>67096.65999999992</v>
      </c>
    </row>
    <row r="16" spans="1:14" ht="15">
      <c r="A16" s="79" t="s">
        <v>41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</row>
    <row r="17" spans="1:14" ht="27" customHeight="1">
      <c r="A17" s="77" t="s">
        <v>53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78"/>
    </row>
    <row r="18" spans="1:14" s="64" customFormat="1" ht="18" customHeight="1">
      <c r="A18" s="62"/>
      <c r="B18" s="63" t="s">
        <v>44</v>
      </c>
      <c r="C18" s="63" t="s">
        <v>45</v>
      </c>
      <c r="D18" s="63" t="s">
        <v>46</v>
      </c>
      <c r="E18" s="63" t="s">
        <v>47</v>
      </c>
      <c r="F18" s="63" t="s">
        <v>48</v>
      </c>
      <c r="G18" s="63">
        <v>44378</v>
      </c>
      <c r="H18" s="63">
        <v>44409</v>
      </c>
      <c r="I18" s="63">
        <v>44440</v>
      </c>
      <c r="J18" s="63">
        <v>44470</v>
      </c>
      <c r="K18" s="63">
        <v>44501</v>
      </c>
      <c r="L18" s="63">
        <v>44531</v>
      </c>
      <c r="M18" s="67">
        <v>44562</v>
      </c>
      <c r="N18" s="71" t="s">
        <v>40</v>
      </c>
    </row>
    <row r="19" spans="1:14" ht="18" customHeight="1">
      <c r="A19" s="60" t="s">
        <v>37</v>
      </c>
      <c r="B19" s="61"/>
      <c r="C19" s="61">
        <f>B21</f>
        <v>-26000.07</v>
      </c>
      <c r="D19" s="61">
        <f>C21</f>
        <v>-53000.14</v>
      </c>
      <c r="E19" s="61">
        <f>D21</f>
        <v>-85800.20999999999</v>
      </c>
      <c r="F19" s="61">
        <f>E21</f>
        <v>-117800.26999999999</v>
      </c>
      <c r="G19" s="61">
        <f>F21+297396</f>
        <v>139570.66</v>
      </c>
      <c r="H19" s="61">
        <f>G21</f>
        <v>51140.59</v>
      </c>
      <c r="I19" s="61">
        <f>H21</f>
        <v>5201.929999999993</v>
      </c>
      <c r="J19" s="61">
        <f>I21</f>
        <v>-8979.940000000008</v>
      </c>
      <c r="K19" s="61">
        <f>J21</f>
        <v>-46530.01000000001</v>
      </c>
      <c r="L19" s="61">
        <f>K21</f>
        <v>-72530.08000000002</v>
      </c>
      <c r="M19" s="68">
        <f>L21+57186.15</f>
        <v>-57844.00000000002</v>
      </c>
      <c r="N19" s="72">
        <v>354582.15</v>
      </c>
    </row>
    <row r="20" spans="1:14" ht="18" customHeight="1" thickBot="1">
      <c r="A20" s="76" t="s">
        <v>38</v>
      </c>
      <c r="B20" s="66">
        <v>26000.07</v>
      </c>
      <c r="C20" s="66">
        <v>27000.07</v>
      </c>
      <c r="D20" s="66">
        <v>32800.07</v>
      </c>
      <c r="E20" s="66">
        <v>32000.06</v>
      </c>
      <c r="F20" s="66">
        <v>40025.07</v>
      </c>
      <c r="G20" s="66">
        <v>88430.07</v>
      </c>
      <c r="H20" s="66">
        <v>45938.66</v>
      </c>
      <c r="I20" s="66">
        <v>14181.87</v>
      </c>
      <c r="J20" s="66">
        <v>37550.07</v>
      </c>
      <c r="K20" s="66">
        <v>26000.07</v>
      </c>
      <c r="L20" s="66">
        <v>42500.07</v>
      </c>
      <c r="M20" s="69">
        <v>26000.07</v>
      </c>
      <c r="N20" s="73">
        <f>SUM(B20:M20)</f>
        <v>438426.22000000003</v>
      </c>
    </row>
    <row r="21" spans="1:14" ht="18" customHeight="1" thickTop="1">
      <c r="A21" s="75" t="s">
        <v>39</v>
      </c>
      <c r="B21" s="65">
        <f aca="true" t="shared" si="2" ref="B21:N21">B19-B20</f>
        <v>-26000.07</v>
      </c>
      <c r="C21" s="65">
        <f t="shared" si="2"/>
        <v>-53000.14</v>
      </c>
      <c r="D21" s="65">
        <f t="shared" si="2"/>
        <v>-85800.20999999999</v>
      </c>
      <c r="E21" s="65">
        <f t="shared" si="2"/>
        <v>-117800.26999999999</v>
      </c>
      <c r="F21" s="65">
        <f t="shared" si="2"/>
        <v>-157825.34</v>
      </c>
      <c r="G21" s="65">
        <f t="shared" si="2"/>
        <v>51140.59</v>
      </c>
      <c r="H21" s="65">
        <f t="shared" si="2"/>
        <v>5201.929999999993</v>
      </c>
      <c r="I21" s="65">
        <f t="shared" si="2"/>
        <v>-8979.940000000008</v>
      </c>
      <c r="J21" s="65">
        <f t="shared" si="2"/>
        <v>-46530.01000000001</v>
      </c>
      <c r="K21" s="65">
        <f t="shared" si="2"/>
        <v>-72530.08000000002</v>
      </c>
      <c r="L21" s="65">
        <f t="shared" si="2"/>
        <v>-115030.15000000002</v>
      </c>
      <c r="M21" s="70">
        <f t="shared" si="2"/>
        <v>-83844.07000000002</v>
      </c>
      <c r="N21" s="74">
        <f t="shared" si="2"/>
        <v>-83844.07</v>
      </c>
    </row>
    <row r="23" spans="1:14" ht="30" customHeight="1">
      <c r="A23" s="160" t="s">
        <v>49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</sheetData>
  <sheetProtection/>
  <mergeCells count="3">
    <mergeCell ref="A23:N23"/>
    <mergeCell ref="L1:N1"/>
    <mergeCell ref="A3:N3"/>
  </mergeCells>
  <printOptions/>
  <pageMargins left="0.3937007874015748" right="0" top="0.5905511811023623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0.57421875" style="55" customWidth="1"/>
    <col min="2" max="13" width="11.7109375" style="54" customWidth="1"/>
    <col min="14" max="14" width="11.7109375" style="0" customWidth="1"/>
  </cols>
  <sheetData>
    <row r="1" spans="11:16" ht="27.75" customHeight="1">
      <c r="K1" s="83"/>
      <c r="L1" s="161" t="s">
        <v>50</v>
      </c>
      <c r="M1" s="161"/>
      <c r="N1" s="161"/>
      <c r="O1" s="84"/>
      <c r="P1" s="84"/>
    </row>
    <row r="2" spans="11:16" ht="12" customHeight="1">
      <c r="K2" s="83"/>
      <c r="L2" s="59"/>
      <c r="M2" s="59"/>
      <c r="N2" s="59"/>
      <c r="O2" s="84"/>
      <c r="P2" s="84"/>
    </row>
    <row r="3" spans="1:14" ht="30.75" customHeight="1">
      <c r="A3" s="162" t="s">
        <v>101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ht="15">
      <c r="N4" s="85" t="s">
        <v>51</v>
      </c>
    </row>
    <row r="5" ht="15" hidden="1">
      <c r="A5" s="82" t="s">
        <v>36</v>
      </c>
    </row>
    <row r="6" ht="15" hidden="1">
      <c r="A6" s="53"/>
    </row>
    <row r="7" spans="1:14" s="64" customFormat="1" ht="18" customHeight="1" hidden="1">
      <c r="A7" s="62"/>
      <c r="B7" s="63">
        <v>44228</v>
      </c>
      <c r="C7" s="63">
        <v>44256</v>
      </c>
      <c r="D7" s="63">
        <v>44287</v>
      </c>
      <c r="E7" s="63">
        <v>44317</v>
      </c>
      <c r="F7" s="63">
        <v>44348</v>
      </c>
      <c r="G7" s="63">
        <v>44378</v>
      </c>
      <c r="H7" s="63">
        <v>44409</v>
      </c>
      <c r="I7" s="63">
        <v>44440</v>
      </c>
      <c r="J7" s="63">
        <v>44470</v>
      </c>
      <c r="K7" s="63">
        <v>44501</v>
      </c>
      <c r="L7" s="63">
        <v>44531</v>
      </c>
      <c r="M7" s="67">
        <v>44562</v>
      </c>
      <c r="N7" s="71" t="s">
        <v>40</v>
      </c>
    </row>
    <row r="8" spans="1:14" ht="18" customHeight="1" hidden="1">
      <c r="A8" s="60" t="s">
        <v>37</v>
      </c>
      <c r="B8" s="61">
        <v>1274540.4</v>
      </c>
      <c r="C8" s="61">
        <f>B10</f>
        <v>1204390.4</v>
      </c>
      <c r="D8" s="61">
        <f>C10-7250.6</f>
        <v>1088875.91</v>
      </c>
      <c r="E8" s="61">
        <f>D10</f>
        <v>938767.1199999999</v>
      </c>
      <c r="F8" s="61">
        <f>E10</f>
        <v>749311.3599999999</v>
      </c>
      <c r="G8" s="61">
        <f>F10</f>
        <v>592444.4299999999</v>
      </c>
      <c r="H8" s="61">
        <f>G10</f>
        <v>290074.18999999994</v>
      </c>
      <c r="I8" s="61">
        <f>H10+245207.56</f>
        <v>358026.5199999999</v>
      </c>
      <c r="J8" s="61">
        <f>I10</f>
        <v>295112.8899999999</v>
      </c>
      <c r="K8" s="61">
        <f>J10</f>
        <v>175206.6999999999</v>
      </c>
      <c r="L8" s="61">
        <f>K10</f>
        <v>66850.5099999999</v>
      </c>
      <c r="M8" s="68">
        <f>L10+164309.81</f>
        <v>84620.21999999988</v>
      </c>
      <c r="N8" s="72">
        <f>1138589.02+354582.15+183636</f>
        <v>1676807.17</v>
      </c>
    </row>
    <row r="9" spans="1:14" ht="18" customHeight="1" hidden="1" thickBot="1">
      <c r="A9" s="76" t="s">
        <v>38</v>
      </c>
      <c r="B9" s="66">
        <v>70150</v>
      </c>
      <c r="C9" s="66">
        <v>108263.89</v>
      </c>
      <c r="D9" s="66">
        <f>124140.79+25968</f>
        <v>150108.78999999998</v>
      </c>
      <c r="E9" s="66">
        <f>166583.76+22872</f>
        <v>189455.76</v>
      </c>
      <c r="F9" s="66">
        <f>153479.93+3387</f>
        <v>156866.93</v>
      </c>
      <c r="G9" s="66">
        <v>302370.24</v>
      </c>
      <c r="H9" s="66">
        <v>177255.23</v>
      </c>
      <c r="I9" s="66">
        <v>62913.63</v>
      </c>
      <c r="J9" s="66">
        <v>119906.19</v>
      </c>
      <c r="K9" s="66">
        <v>108356.19</v>
      </c>
      <c r="L9" s="66">
        <v>146540.1</v>
      </c>
      <c r="M9" s="69">
        <v>101367.63</v>
      </c>
      <c r="N9" s="73">
        <f>SUM(B9:M9)</f>
        <v>1693554.58</v>
      </c>
    </row>
    <row r="10" spans="1:14" ht="18" customHeight="1" hidden="1" thickTop="1">
      <c r="A10" s="75" t="s">
        <v>39</v>
      </c>
      <c r="B10" s="65">
        <f>B8-B9</f>
        <v>1204390.4</v>
      </c>
      <c r="C10" s="65">
        <f aca="true" t="shared" si="0" ref="C10:N10">C8-C9</f>
        <v>1096126.51</v>
      </c>
      <c r="D10" s="65">
        <f t="shared" si="0"/>
        <v>938767.1199999999</v>
      </c>
      <c r="E10" s="65">
        <f t="shared" si="0"/>
        <v>749311.3599999999</v>
      </c>
      <c r="F10" s="65">
        <f t="shared" si="0"/>
        <v>592444.4299999999</v>
      </c>
      <c r="G10" s="65">
        <f t="shared" si="0"/>
        <v>290074.18999999994</v>
      </c>
      <c r="H10" s="65">
        <f t="shared" si="0"/>
        <v>112818.95999999993</v>
      </c>
      <c r="I10" s="65">
        <f t="shared" si="0"/>
        <v>295112.8899999999</v>
      </c>
      <c r="J10" s="65">
        <f t="shared" si="0"/>
        <v>175206.6999999999</v>
      </c>
      <c r="K10" s="65">
        <f t="shared" si="0"/>
        <v>66850.5099999999</v>
      </c>
      <c r="L10" s="65">
        <f t="shared" si="0"/>
        <v>-79689.59000000011</v>
      </c>
      <c r="M10" s="70">
        <f t="shared" si="0"/>
        <v>-16747.41000000012</v>
      </c>
      <c r="N10" s="74">
        <f t="shared" si="0"/>
        <v>-16747.41000000015</v>
      </c>
    </row>
    <row r="11" spans="1:14" ht="15" hidden="1">
      <c r="A11" s="79" t="s">
        <v>41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</row>
    <row r="12" spans="1:14" ht="27" customHeight="1" hidden="1">
      <c r="A12" s="77" t="s">
        <v>42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/>
    </row>
    <row r="13" spans="1:14" s="64" customFormat="1" ht="18" customHeight="1" hidden="1">
      <c r="A13" s="62"/>
      <c r="B13" s="63">
        <v>44228</v>
      </c>
      <c r="C13" s="63">
        <v>44256</v>
      </c>
      <c r="D13" s="63">
        <v>44287</v>
      </c>
      <c r="E13" s="63">
        <v>44317</v>
      </c>
      <c r="F13" s="63">
        <v>44348</v>
      </c>
      <c r="G13" s="63">
        <v>44378</v>
      </c>
      <c r="H13" s="63">
        <v>44409</v>
      </c>
      <c r="I13" s="63">
        <v>44440</v>
      </c>
      <c r="J13" s="63">
        <v>44470</v>
      </c>
      <c r="K13" s="63">
        <v>44501</v>
      </c>
      <c r="L13" s="63">
        <v>44531</v>
      </c>
      <c r="M13" s="67">
        <v>44562</v>
      </c>
      <c r="N13" s="71" t="s">
        <v>40</v>
      </c>
    </row>
    <row r="14" spans="1:14" ht="18" customHeight="1" hidden="1">
      <c r="A14" s="60" t="s">
        <v>37</v>
      </c>
      <c r="B14" s="61">
        <v>1274540.4</v>
      </c>
      <c r="C14" s="61">
        <f>B16</f>
        <v>1230390.47</v>
      </c>
      <c r="D14" s="61">
        <f>C16-7250.6</f>
        <v>1141876.0499999998</v>
      </c>
      <c r="E14" s="61">
        <f>D16</f>
        <v>1024567.3299999998</v>
      </c>
      <c r="F14" s="61">
        <f>E16</f>
        <v>867111.6299999999</v>
      </c>
      <c r="G14" s="61">
        <f>F16-297396</f>
        <v>452873.7699999999</v>
      </c>
      <c r="H14" s="61">
        <f>G16</f>
        <v>238933.59999999992</v>
      </c>
      <c r="I14" s="61">
        <f>H16+245207.56</f>
        <v>352824.5899999999</v>
      </c>
      <c r="J14" s="61">
        <f>I16</f>
        <v>304092.8299999999</v>
      </c>
      <c r="K14" s="61">
        <f>J16</f>
        <v>221736.7099999999</v>
      </c>
      <c r="L14" s="61">
        <f>K16</f>
        <v>139380.5899999999</v>
      </c>
      <c r="M14" s="68">
        <f>L16+107123.66</f>
        <v>142464.2199999999</v>
      </c>
      <c r="N14" s="72">
        <f>1138589.02+183636</f>
        <v>1322225.02</v>
      </c>
    </row>
    <row r="15" spans="1:14" ht="18" customHeight="1" hidden="1" thickBot="1">
      <c r="A15" s="76" t="s">
        <v>38</v>
      </c>
      <c r="B15" s="66">
        <f>70150-26000.07</f>
        <v>44149.93</v>
      </c>
      <c r="C15" s="66">
        <f>108263.89-27000.07</f>
        <v>81263.82</v>
      </c>
      <c r="D15" s="66">
        <f>124140.79-32800.07+25968</f>
        <v>117308.72</v>
      </c>
      <c r="E15" s="66">
        <f>166583.76-32000.06+22872</f>
        <v>157455.7</v>
      </c>
      <c r="F15" s="66">
        <f>153479.93-40025.07+3387</f>
        <v>116841.85999999999</v>
      </c>
      <c r="G15" s="66">
        <f>302370.24-88430.07</f>
        <v>213940.16999999998</v>
      </c>
      <c r="H15" s="66">
        <f>177255.23-45938.66</f>
        <v>131316.57</v>
      </c>
      <c r="I15" s="66">
        <f>62913.63-14181.87</f>
        <v>48731.759999999995</v>
      </c>
      <c r="J15" s="66">
        <f>119906.19-37550.07</f>
        <v>82356.12</v>
      </c>
      <c r="K15" s="66">
        <f>108356.19-26000.07</f>
        <v>82356.12</v>
      </c>
      <c r="L15" s="66">
        <f>146540.1-42500.07</f>
        <v>104040.03</v>
      </c>
      <c r="M15" s="69">
        <f>101367.63-26000.07</f>
        <v>75367.56</v>
      </c>
      <c r="N15" s="73">
        <f>SUM(B15:M15)</f>
        <v>1255128.36</v>
      </c>
    </row>
    <row r="16" spans="1:14" ht="18" customHeight="1" hidden="1" thickTop="1">
      <c r="A16" s="75" t="s">
        <v>39</v>
      </c>
      <c r="B16" s="65">
        <f aca="true" t="shared" si="1" ref="B16:N16">B14-B15</f>
        <v>1230390.47</v>
      </c>
      <c r="C16" s="65">
        <f t="shared" si="1"/>
        <v>1149126.65</v>
      </c>
      <c r="D16" s="65">
        <f t="shared" si="1"/>
        <v>1024567.3299999998</v>
      </c>
      <c r="E16" s="65">
        <f t="shared" si="1"/>
        <v>867111.6299999999</v>
      </c>
      <c r="F16" s="65">
        <f t="shared" si="1"/>
        <v>750269.7699999999</v>
      </c>
      <c r="G16" s="65">
        <f t="shared" si="1"/>
        <v>238933.59999999992</v>
      </c>
      <c r="H16" s="65">
        <f t="shared" si="1"/>
        <v>107617.02999999991</v>
      </c>
      <c r="I16" s="65">
        <f t="shared" si="1"/>
        <v>304092.8299999999</v>
      </c>
      <c r="J16" s="65">
        <f t="shared" si="1"/>
        <v>221736.7099999999</v>
      </c>
      <c r="K16" s="65">
        <f t="shared" si="1"/>
        <v>139380.5899999999</v>
      </c>
      <c r="L16" s="65">
        <f t="shared" si="1"/>
        <v>35340.55999999991</v>
      </c>
      <c r="M16" s="70">
        <f t="shared" si="1"/>
        <v>67096.65999999992</v>
      </c>
      <c r="N16" s="74">
        <f t="shared" si="1"/>
        <v>67096.65999999992</v>
      </c>
    </row>
    <row r="17" spans="1:14" ht="15" hidden="1">
      <c r="A17" s="79" t="s">
        <v>41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</row>
    <row r="18" spans="1:14" ht="27" customHeight="1" hidden="1">
      <c r="A18" s="77" t="s">
        <v>43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78"/>
    </row>
    <row r="19" spans="1:14" s="64" customFormat="1" ht="18" customHeight="1" hidden="1">
      <c r="A19" s="62"/>
      <c r="B19" s="63" t="s">
        <v>44</v>
      </c>
      <c r="C19" s="63" t="s">
        <v>45</v>
      </c>
      <c r="D19" s="63" t="s">
        <v>46</v>
      </c>
      <c r="E19" s="63" t="s">
        <v>47</v>
      </c>
      <c r="F19" s="63" t="s">
        <v>48</v>
      </c>
      <c r="G19" s="63">
        <v>44378</v>
      </c>
      <c r="H19" s="63">
        <v>44409</v>
      </c>
      <c r="I19" s="63">
        <v>44440</v>
      </c>
      <c r="J19" s="63">
        <v>44470</v>
      </c>
      <c r="K19" s="63">
        <v>44501</v>
      </c>
      <c r="L19" s="63">
        <v>44531</v>
      </c>
      <c r="M19" s="67">
        <v>44562</v>
      </c>
      <c r="N19" s="71" t="s">
        <v>40</v>
      </c>
    </row>
    <row r="20" spans="1:14" ht="18" customHeight="1" hidden="1">
      <c r="A20" s="60" t="s">
        <v>37</v>
      </c>
      <c r="B20" s="61"/>
      <c r="C20" s="61">
        <f>B22</f>
        <v>-26000.07</v>
      </c>
      <c r="D20" s="61">
        <f>C22</f>
        <v>-53000.14</v>
      </c>
      <c r="E20" s="61">
        <f>D22</f>
        <v>-85800.20999999999</v>
      </c>
      <c r="F20" s="61">
        <f>E22</f>
        <v>-117800.26999999999</v>
      </c>
      <c r="G20" s="61">
        <f>F22+297396</f>
        <v>139570.66</v>
      </c>
      <c r="H20" s="61">
        <f>G22</f>
        <v>51140.59</v>
      </c>
      <c r="I20" s="61">
        <f>H22</f>
        <v>5201.929999999993</v>
      </c>
      <c r="J20" s="61">
        <f>I22</f>
        <v>-8979.940000000008</v>
      </c>
      <c r="K20" s="61">
        <f>J22</f>
        <v>-46530.01000000001</v>
      </c>
      <c r="L20" s="61">
        <f>K22</f>
        <v>-72530.08000000002</v>
      </c>
      <c r="M20" s="68">
        <f>L22+57186.15</f>
        <v>-57844.00000000002</v>
      </c>
      <c r="N20" s="72">
        <v>354582.15</v>
      </c>
    </row>
    <row r="21" spans="1:14" ht="18" customHeight="1" hidden="1" thickBot="1">
      <c r="A21" s="76" t="s">
        <v>38</v>
      </c>
      <c r="B21" s="66">
        <v>26000.07</v>
      </c>
      <c r="C21" s="66">
        <v>27000.07</v>
      </c>
      <c r="D21" s="66">
        <v>32800.07</v>
      </c>
      <c r="E21" s="66">
        <v>32000.06</v>
      </c>
      <c r="F21" s="66">
        <v>40025.07</v>
      </c>
      <c r="G21" s="66">
        <v>88430.07</v>
      </c>
      <c r="H21" s="66">
        <v>45938.66</v>
      </c>
      <c r="I21" s="66">
        <v>14181.87</v>
      </c>
      <c r="J21" s="66">
        <v>37550.07</v>
      </c>
      <c r="K21" s="66">
        <v>26000.07</v>
      </c>
      <c r="L21" s="66">
        <v>42500.07</v>
      </c>
      <c r="M21" s="69">
        <v>26000.07</v>
      </c>
      <c r="N21" s="73">
        <f>SUM(B21:M21)</f>
        <v>438426.22000000003</v>
      </c>
    </row>
    <row r="22" spans="1:14" ht="18" customHeight="1" hidden="1" thickTop="1">
      <c r="A22" s="75" t="s">
        <v>39</v>
      </c>
      <c r="B22" s="65">
        <f aca="true" t="shared" si="2" ref="B22:N22">B20-B21</f>
        <v>-26000.07</v>
      </c>
      <c r="C22" s="65">
        <f t="shared" si="2"/>
        <v>-53000.14</v>
      </c>
      <c r="D22" s="65">
        <f t="shared" si="2"/>
        <v>-85800.20999999999</v>
      </c>
      <c r="E22" s="65">
        <f t="shared" si="2"/>
        <v>-117800.26999999999</v>
      </c>
      <c r="F22" s="65">
        <f t="shared" si="2"/>
        <v>-157825.34</v>
      </c>
      <c r="G22" s="65">
        <f t="shared" si="2"/>
        <v>51140.59</v>
      </c>
      <c r="H22" s="65">
        <f t="shared" si="2"/>
        <v>5201.929999999993</v>
      </c>
      <c r="I22" s="65">
        <f t="shared" si="2"/>
        <v>-8979.940000000008</v>
      </c>
      <c r="J22" s="65">
        <f t="shared" si="2"/>
        <v>-46530.01000000001</v>
      </c>
      <c r="K22" s="65">
        <f t="shared" si="2"/>
        <v>-72530.08000000002</v>
      </c>
      <c r="L22" s="65">
        <f t="shared" si="2"/>
        <v>-115030.15000000002</v>
      </c>
      <c r="M22" s="70">
        <f t="shared" si="2"/>
        <v>-83844.07000000002</v>
      </c>
      <c r="N22" s="74">
        <f t="shared" si="2"/>
        <v>-83844.07</v>
      </c>
    </row>
    <row r="23" ht="15" hidden="1"/>
    <row r="24" ht="15" hidden="1"/>
    <row r="25" spans="1:14" s="64" customFormat="1" ht="18" customHeight="1">
      <c r="A25" s="62"/>
      <c r="B25" s="63">
        <v>44228</v>
      </c>
      <c r="C25" s="63">
        <v>44256</v>
      </c>
      <c r="D25" s="63">
        <v>44287</v>
      </c>
      <c r="E25" s="63">
        <v>44317</v>
      </c>
      <c r="F25" s="63">
        <v>44348</v>
      </c>
      <c r="G25" s="63">
        <v>44378</v>
      </c>
      <c r="H25" s="63">
        <v>44409</v>
      </c>
      <c r="I25" s="63">
        <v>44440</v>
      </c>
      <c r="J25" s="63">
        <v>44470</v>
      </c>
      <c r="K25" s="63">
        <v>44501</v>
      </c>
      <c r="L25" s="63">
        <v>44531</v>
      </c>
      <c r="M25" s="67">
        <v>44562</v>
      </c>
      <c r="N25" s="71" t="s">
        <v>40</v>
      </c>
    </row>
    <row r="26" spans="1:14" ht="18" customHeight="1">
      <c r="A26" s="60" t="s">
        <v>37</v>
      </c>
      <c r="B26" s="61">
        <v>384911.2</v>
      </c>
      <c r="C26" s="61">
        <f>B28+246344.6</f>
        <v>611842.49</v>
      </c>
      <c r="D26" s="61">
        <f>C28</f>
        <v>579146.79</v>
      </c>
      <c r="E26" s="61">
        <f>D28</f>
        <v>541656.28</v>
      </c>
      <c r="F26" s="61">
        <f>E28</f>
        <v>491347.98000000004</v>
      </c>
      <c r="G26" s="61">
        <f>F28-191138.52</f>
        <v>253858.52000000005</v>
      </c>
      <c r="H26" s="61">
        <f>G28</f>
        <v>210700.48000000004</v>
      </c>
      <c r="I26" s="61">
        <f>H28</f>
        <v>187233.93000000005</v>
      </c>
      <c r="J26" s="61">
        <f>I28</f>
        <v>168234.03000000006</v>
      </c>
      <c r="K26" s="61">
        <f>J28</f>
        <v>37814.27000000006</v>
      </c>
      <c r="L26" s="61">
        <f>K28</f>
        <v>5090.700000000063</v>
      </c>
      <c r="M26" s="68">
        <f>L28+57300.94</f>
        <v>25611.040000000066</v>
      </c>
      <c r="N26" s="72">
        <f>336458.25+105501.97+55458</f>
        <v>497418.22</v>
      </c>
    </row>
    <row r="27" spans="1:14" ht="18" customHeight="1" thickBot="1">
      <c r="A27" s="76" t="s">
        <v>38</v>
      </c>
      <c r="B27" s="66">
        <v>19413.31</v>
      </c>
      <c r="C27" s="66">
        <v>32695.7</v>
      </c>
      <c r="D27" s="66">
        <v>37490.51</v>
      </c>
      <c r="E27" s="66">
        <v>50308.3</v>
      </c>
      <c r="F27" s="66">
        <v>46350.94</v>
      </c>
      <c r="G27" s="66">
        <v>43158.04</v>
      </c>
      <c r="H27" s="66">
        <v>23466.55</v>
      </c>
      <c r="I27" s="66">
        <v>18999.9</v>
      </c>
      <c r="J27" s="66">
        <v>130419.76</v>
      </c>
      <c r="K27" s="66">
        <v>32723.57</v>
      </c>
      <c r="L27" s="66">
        <v>36780.6</v>
      </c>
      <c r="M27" s="69">
        <v>25611.03</v>
      </c>
      <c r="N27" s="73">
        <f>SUM(B27:M27)</f>
        <v>497418.20999999996</v>
      </c>
    </row>
    <row r="28" spans="1:14" ht="18" customHeight="1" thickTop="1">
      <c r="A28" s="75" t="s">
        <v>39</v>
      </c>
      <c r="B28" s="65">
        <f>B26-B27</f>
        <v>365497.89</v>
      </c>
      <c r="C28" s="65">
        <f aca="true" t="shared" si="3" ref="C28:N28">C26-C27</f>
        <v>579146.79</v>
      </c>
      <c r="D28" s="65">
        <f t="shared" si="3"/>
        <v>541656.28</v>
      </c>
      <c r="E28" s="65">
        <f t="shared" si="3"/>
        <v>491347.98000000004</v>
      </c>
      <c r="F28" s="65">
        <f t="shared" si="3"/>
        <v>444997.04000000004</v>
      </c>
      <c r="G28" s="65">
        <f t="shared" si="3"/>
        <v>210700.48000000004</v>
      </c>
      <c r="H28" s="65">
        <f t="shared" si="3"/>
        <v>187233.93000000005</v>
      </c>
      <c r="I28" s="65">
        <f t="shared" si="3"/>
        <v>168234.03000000006</v>
      </c>
      <c r="J28" s="65">
        <f t="shared" si="3"/>
        <v>37814.27000000006</v>
      </c>
      <c r="K28" s="65">
        <f t="shared" si="3"/>
        <v>5090.700000000063</v>
      </c>
      <c r="L28" s="65">
        <f t="shared" si="3"/>
        <v>-31689.899999999936</v>
      </c>
      <c r="M28" s="70">
        <f t="shared" si="3"/>
        <v>0.010000000067520887</v>
      </c>
      <c r="N28" s="74">
        <f t="shared" si="3"/>
        <v>0.010000000009313226</v>
      </c>
    </row>
    <row r="29" spans="1:14" ht="15">
      <c r="A29" s="79" t="s">
        <v>41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1"/>
    </row>
    <row r="30" spans="1:14" ht="27" customHeight="1">
      <c r="A30" s="77" t="s">
        <v>42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78"/>
    </row>
    <row r="31" spans="1:14" s="64" customFormat="1" ht="18" customHeight="1">
      <c r="A31" s="62"/>
      <c r="B31" s="63">
        <v>44228</v>
      </c>
      <c r="C31" s="63">
        <v>44256</v>
      </c>
      <c r="D31" s="63">
        <v>44287</v>
      </c>
      <c r="E31" s="63">
        <v>44317</v>
      </c>
      <c r="F31" s="63">
        <v>44348</v>
      </c>
      <c r="G31" s="63">
        <v>44378</v>
      </c>
      <c r="H31" s="63">
        <v>44409</v>
      </c>
      <c r="I31" s="63">
        <v>44440</v>
      </c>
      <c r="J31" s="63">
        <v>44470</v>
      </c>
      <c r="K31" s="63">
        <v>44501</v>
      </c>
      <c r="L31" s="63">
        <v>44531</v>
      </c>
      <c r="M31" s="67">
        <v>44562</v>
      </c>
      <c r="N31" s="71" t="s">
        <v>40</v>
      </c>
    </row>
    <row r="32" spans="1:14" ht="18" customHeight="1">
      <c r="A32" s="60" t="s">
        <v>37</v>
      </c>
      <c r="B32" s="61">
        <v>384911.2</v>
      </c>
      <c r="C32" s="61">
        <f>B34</f>
        <v>373349.9</v>
      </c>
      <c r="D32" s="61">
        <f>C34+246344.6</f>
        <v>595152.8300000001</v>
      </c>
      <c r="E32" s="61">
        <f>D34</f>
        <v>559725.6000000001</v>
      </c>
      <c r="F32" s="61">
        <f>E34</f>
        <v>512173.9800000001</v>
      </c>
      <c r="G32" s="61">
        <f>F34-280952.11</f>
        <v>195935.63000000012</v>
      </c>
      <c r="H32" s="61">
        <f>G34</f>
        <v>131325.70000000013</v>
      </c>
      <c r="I32" s="61">
        <f>H34</f>
        <v>91668.10000000012</v>
      </c>
      <c r="J32" s="61">
        <f>I34</f>
        <v>76951.11000000012</v>
      </c>
      <c r="K32" s="61">
        <f>J34</f>
        <v>52079.560000000114</v>
      </c>
      <c r="L32" s="61">
        <f>K34</f>
        <v>27208.010000000115</v>
      </c>
      <c r="M32" s="68">
        <f>L34+41612.56</f>
        <v>38115.11000000012</v>
      </c>
      <c r="N32" s="72">
        <f>336458.25+55458</f>
        <v>391916.25</v>
      </c>
    </row>
    <row r="33" spans="1:14" ht="18" customHeight="1" thickBot="1">
      <c r="A33" s="76" t="s">
        <v>38</v>
      </c>
      <c r="B33" s="66">
        <f>ROUND((B15-5867.49)*30.2%,2)</f>
        <v>11561.3</v>
      </c>
      <c r="C33" s="66">
        <f aca="true" t="shared" si="4" ref="C33:K33">ROUND(C15*30.2%,2)</f>
        <v>24541.67</v>
      </c>
      <c r="D33" s="66">
        <f t="shared" si="4"/>
        <v>35427.23</v>
      </c>
      <c r="E33" s="66">
        <f t="shared" si="4"/>
        <v>47551.62</v>
      </c>
      <c r="F33" s="66">
        <f t="shared" si="4"/>
        <v>35286.24</v>
      </c>
      <c r="G33" s="66">
        <f t="shared" si="4"/>
        <v>64609.93</v>
      </c>
      <c r="H33" s="66">
        <f t="shared" si="4"/>
        <v>39657.6</v>
      </c>
      <c r="I33" s="66">
        <f t="shared" si="4"/>
        <v>14716.99</v>
      </c>
      <c r="J33" s="66">
        <f t="shared" si="4"/>
        <v>24871.55</v>
      </c>
      <c r="K33" s="66">
        <f t="shared" si="4"/>
        <v>24871.55</v>
      </c>
      <c r="L33" s="66">
        <f>ROUND((L15-2366.32)*30.2%,2)</f>
        <v>30705.46</v>
      </c>
      <c r="M33" s="69">
        <f>ROUND(M15*30.2%,2)</f>
        <v>22761</v>
      </c>
      <c r="N33" s="73">
        <f>SUM(B33:M33)</f>
        <v>376562.14</v>
      </c>
    </row>
    <row r="34" spans="1:14" ht="18" customHeight="1" thickTop="1">
      <c r="A34" s="75" t="s">
        <v>39</v>
      </c>
      <c r="B34" s="65">
        <f>B32-B33</f>
        <v>373349.9</v>
      </c>
      <c r="C34" s="65">
        <f aca="true" t="shared" si="5" ref="C34:N34">C32-C33</f>
        <v>348808.23000000004</v>
      </c>
      <c r="D34" s="65">
        <f t="shared" si="5"/>
        <v>559725.6000000001</v>
      </c>
      <c r="E34" s="65">
        <f t="shared" si="5"/>
        <v>512173.9800000001</v>
      </c>
      <c r="F34" s="65">
        <f t="shared" si="5"/>
        <v>476887.7400000001</v>
      </c>
      <c r="G34" s="65">
        <f t="shared" si="5"/>
        <v>131325.70000000013</v>
      </c>
      <c r="H34" s="65">
        <f t="shared" si="5"/>
        <v>91668.10000000012</v>
      </c>
      <c r="I34" s="65">
        <f t="shared" si="5"/>
        <v>76951.11000000012</v>
      </c>
      <c r="J34" s="65">
        <f t="shared" si="5"/>
        <v>52079.560000000114</v>
      </c>
      <c r="K34" s="65">
        <f t="shared" si="5"/>
        <v>27208.010000000115</v>
      </c>
      <c r="L34" s="65">
        <f t="shared" si="5"/>
        <v>-3497.4499999998843</v>
      </c>
      <c r="M34" s="70">
        <f t="shared" si="5"/>
        <v>15354.110000000117</v>
      </c>
      <c r="N34" s="74">
        <f t="shared" si="5"/>
        <v>15354.109999999986</v>
      </c>
    </row>
    <row r="35" spans="1:14" ht="27" customHeight="1">
      <c r="A35" s="77" t="s">
        <v>43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78"/>
    </row>
    <row r="36" spans="1:14" s="64" customFormat="1" ht="18" customHeight="1">
      <c r="A36" s="62"/>
      <c r="B36" s="63">
        <v>44228</v>
      </c>
      <c r="C36" s="63">
        <v>44256</v>
      </c>
      <c r="D36" s="63">
        <v>44287</v>
      </c>
      <c r="E36" s="63">
        <v>44317</v>
      </c>
      <c r="F36" s="63">
        <v>44348</v>
      </c>
      <c r="G36" s="63">
        <v>44378</v>
      </c>
      <c r="H36" s="63">
        <v>44409</v>
      </c>
      <c r="I36" s="63">
        <v>44440</v>
      </c>
      <c r="J36" s="63">
        <v>44470</v>
      </c>
      <c r="K36" s="63">
        <v>44501</v>
      </c>
      <c r="L36" s="63">
        <v>44531</v>
      </c>
      <c r="M36" s="67">
        <v>44562</v>
      </c>
      <c r="N36" s="71" t="s">
        <v>40</v>
      </c>
    </row>
    <row r="37" spans="1:14" ht="18" customHeight="1">
      <c r="A37" s="60" t="s">
        <v>37</v>
      </c>
      <c r="B37" s="61"/>
      <c r="C37" s="61">
        <f>B39</f>
        <v>-7852.02</v>
      </c>
      <c r="D37" s="61">
        <f>C39</f>
        <v>-16006.04</v>
      </c>
      <c r="E37" s="61">
        <f>D39</f>
        <v>-25911.660000000003</v>
      </c>
      <c r="F37" s="61">
        <f>E39</f>
        <v>-35575.68000000001</v>
      </c>
      <c r="G37" s="61">
        <f>F39+89813.59</f>
        <v>42150.33999999999</v>
      </c>
      <c r="H37" s="61">
        <f>G39</f>
        <v>15444.459999999988</v>
      </c>
      <c r="I37" s="61">
        <f>H39</f>
        <v>1570.9799999999886</v>
      </c>
      <c r="J37" s="61">
        <f>I39</f>
        <v>-2711.9400000000114</v>
      </c>
      <c r="K37" s="61">
        <f>J39</f>
        <v>-14052.060000000012</v>
      </c>
      <c r="L37" s="61">
        <f>K39</f>
        <v>-21904.080000000013</v>
      </c>
      <c r="M37" s="68">
        <f>L39+15688.38</f>
        <v>-19050.720000000016</v>
      </c>
      <c r="N37" s="72">
        <v>105501.97</v>
      </c>
    </row>
    <row r="38" spans="1:14" ht="18" customHeight="1" thickBot="1">
      <c r="A38" s="76" t="s">
        <v>38</v>
      </c>
      <c r="B38" s="66">
        <f aca="true" t="shared" si="6" ref="B38:M38">ROUND(B21*30.2%,2)</f>
        <v>7852.02</v>
      </c>
      <c r="C38" s="66">
        <f t="shared" si="6"/>
        <v>8154.02</v>
      </c>
      <c r="D38" s="66">
        <f t="shared" si="6"/>
        <v>9905.62</v>
      </c>
      <c r="E38" s="66">
        <f t="shared" si="6"/>
        <v>9664.02</v>
      </c>
      <c r="F38" s="66">
        <f t="shared" si="6"/>
        <v>12087.57</v>
      </c>
      <c r="G38" s="66">
        <f t="shared" si="6"/>
        <v>26705.88</v>
      </c>
      <c r="H38" s="66">
        <f t="shared" si="6"/>
        <v>13873.48</v>
      </c>
      <c r="I38" s="66">
        <f t="shared" si="6"/>
        <v>4282.92</v>
      </c>
      <c r="J38" s="66">
        <f t="shared" si="6"/>
        <v>11340.12</v>
      </c>
      <c r="K38" s="66">
        <f t="shared" si="6"/>
        <v>7852.02</v>
      </c>
      <c r="L38" s="66">
        <f t="shared" si="6"/>
        <v>12835.02</v>
      </c>
      <c r="M38" s="69">
        <f t="shared" si="6"/>
        <v>7852.02</v>
      </c>
      <c r="N38" s="73">
        <f>SUM(B38:M38)</f>
        <v>132404.71</v>
      </c>
    </row>
    <row r="39" spans="1:14" ht="18" customHeight="1" thickTop="1">
      <c r="A39" s="75" t="s">
        <v>39</v>
      </c>
      <c r="B39" s="65">
        <f aca="true" t="shared" si="7" ref="B39:N39">B37-B38</f>
        <v>-7852.02</v>
      </c>
      <c r="C39" s="65">
        <f t="shared" si="7"/>
        <v>-16006.04</v>
      </c>
      <c r="D39" s="65">
        <f t="shared" si="7"/>
        <v>-25911.660000000003</v>
      </c>
      <c r="E39" s="65">
        <f t="shared" si="7"/>
        <v>-35575.68000000001</v>
      </c>
      <c r="F39" s="65">
        <f t="shared" si="7"/>
        <v>-47663.25000000001</v>
      </c>
      <c r="G39" s="65">
        <f t="shared" si="7"/>
        <v>15444.459999999988</v>
      </c>
      <c r="H39" s="65">
        <f t="shared" si="7"/>
        <v>1570.9799999999886</v>
      </c>
      <c r="I39" s="65">
        <f t="shared" si="7"/>
        <v>-2711.9400000000114</v>
      </c>
      <c r="J39" s="65">
        <f t="shared" si="7"/>
        <v>-14052.060000000012</v>
      </c>
      <c r="K39" s="65">
        <f t="shared" si="7"/>
        <v>-21904.080000000013</v>
      </c>
      <c r="L39" s="65">
        <f t="shared" si="7"/>
        <v>-34739.10000000001</v>
      </c>
      <c r="M39" s="70">
        <f t="shared" si="7"/>
        <v>-26902.740000000016</v>
      </c>
      <c r="N39" s="74">
        <f t="shared" si="7"/>
        <v>-26902.73999999999</v>
      </c>
    </row>
    <row r="41" spans="1:14" ht="30" customHeight="1">
      <c r="A41" s="160" t="s">
        <v>49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</row>
    <row r="43" spans="2:13" ht="15">
      <c r="B43" s="57">
        <f aca="true" t="shared" si="8" ref="B43:M43">B33+B38</f>
        <v>19413.32</v>
      </c>
      <c r="C43" s="57">
        <f t="shared" si="8"/>
        <v>32695.69</v>
      </c>
      <c r="D43" s="57">
        <f t="shared" si="8"/>
        <v>45332.850000000006</v>
      </c>
      <c r="E43" s="57">
        <f t="shared" si="8"/>
        <v>57215.64</v>
      </c>
      <c r="F43" s="57">
        <f t="shared" si="8"/>
        <v>47373.81</v>
      </c>
      <c r="G43" s="57">
        <f t="shared" si="8"/>
        <v>91315.81</v>
      </c>
      <c r="H43" s="57">
        <f t="shared" si="8"/>
        <v>53531.08</v>
      </c>
      <c r="I43" s="57">
        <f t="shared" si="8"/>
        <v>18999.91</v>
      </c>
      <c r="J43" s="57">
        <f t="shared" si="8"/>
        <v>36211.67</v>
      </c>
      <c r="K43" s="57">
        <f t="shared" si="8"/>
        <v>32723.57</v>
      </c>
      <c r="L43" s="57">
        <f t="shared" si="8"/>
        <v>43540.479999999996</v>
      </c>
      <c r="M43" s="57">
        <f t="shared" si="8"/>
        <v>30613.02</v>
      </c>
    </row>
    <row r="45" spans="2:13" ht="15">
      <c r="B45" s="57">
        <f aca="true" t="shared" si="9" ref="B45:M45">B27-B43</f>
        <v>-0.00999999999839929</v>
      </c>
      <c r="C45" s="57">
        <f t="shared" si="9"/>
        <v>0.010000000002037268</v>
      </c>
      <c r="D45" s="57">
        <f t="shared" si="9"/>
        <v>-7842.340000000004</v>
      </c>
      <c r="E45" s="57">
        <f t="shared" si="9"/>
        <v>-6907.3399999999965</v>
      </c>
      <c r="F45" s="57">
        <f t="shared" si="9"/>
        <v>-1022.8699999999953</v>
      </c>
      <c r="G45" s="57">
        <f t="shared" si="9"/>
        <v>-48157.77</v>
      </c>
      <c r="H45" s="57">
        <f t="shared" si="9"/>
        <v>-30064.530000000002</v>
      </c>
      <c r="I45" s="57">
        <f t="shared" si="9"/>
        <v>-0.00999999999839929</v>
      </c>
      <c r="J45" s="57">
        <f t="shared" si="9"/>
        <v>94208.09</v>
      </c>
      <c r="K45" s="57">
        <f t="shared" si="9"/>
        <v>0</v>
      </c>
      <c r="L45" s="57">
        <f t="shared" si="9"/>
        <v>-6759.879999999997</v>
      </c>
      <c r="M45" s="57">
        <f t="shared" si="9"/>
        <v>-5001.990000000002</v>
      </c>
    </row>
  </sheetData>
  <sheetProtection/>
  <mergeCells count="3">
    <mergeCell ref="L1:N1"/>
    <mergeCell ref="A3:N3"/>
    <mergeCell ref="A41:N41"/>
  </mergeCells>
  <printOptions/>
  <pageMargins left="0.3937007874015748" right="0" top="0.5905511811023623" bottom="0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136"/>
  <sheetViews>
    <sheetView tabSelected="1" zoomScalePageLayoutView="0" workbookViewId="0" topLeftCell="A1">
      <selection activeCell="H61" sqref="H61"/>
    </sheetView>
  </sheetViews>
  <sheetFormatPr defaultColWidth="12.57421875" defaultRowHeight="15"/>
  <cols>
    <col min="1" max="1" width="3.8515625" style="92" customWidth="1"/>
    <col min="2" max="2" width="9.7109375" style="92" customWidth="1"/>
    <col min="3" max="4" width="10.7109375" style="113" customWidth="1"/>
    <col min="5" max="5" width="21.421875" style="113" customWidth="1"/>
    <col min="6" max="6" width="23.57421875" style="89" customWidth="1"/>
    <col min="7" max="7" width="31.140625" style="89" customWidth="1"/>
    <col min="8" max="8" width="11.7109375" style="89" customWidth="1"/>
    <col min="9" max="9" width="13.140625" style="194" customWidth="1"/>
    <col min="10" max="10" width="6.00390625" style="89" customWidth="1"/>
    <col min="11" max="57" width="12.140625" style="89" customWidth="1"/>
    <col min="58" max="16384" width="12.57421875" style="93" customWidth="1"/>
  </cols>
  <sheetData>
    <row r="1" spans="1:14" s="182" customFormat="1" ht="27.75" customHeight="1">
      <c r="A1" s="55"/>
      <c r="B1" s="54"/>
      <c r="C1" s="54"/>
      <c r="D1" s="54"/>
      <c r="E1" s="54"/>
      <c r="F1" s="54"/>
      <c r="G1" s="179" t="s">
        <v>308</v>
      </c>
      <c r="H1" s="179"/>
      <c r="I1" s="179"/>
      <c r="J1" s="195"/>
      <c r="K1" s="195"/>
      <c r="L1" s="83"/>
      <c r="M1" s="84"/>
      <c r="N1" s="84"/>
    </row>
    <row r="2" spans="1:14" s="182" customFormat="1" ht="15.75" customHeight="1">
      <c r="A2" s="55"/>
      <c r="B2" s="54"/>
      <c r="C2" s="54"/>
      <c r="D2" s="54"/>
      <c r="E2" s="54"/>
      <c r="F2" s="54"/>
      <c r="G2" s="54"/>
      <c r="H2" s="58"/>
      <c r="I2" s="183"/>
      <c r="J2" s="196"/>
      <c r="K2" s="196"/>
      <c r="L2" s="59"/>
      <c r="M2" s="84"/>
      <c r="N2" s="84"/>
    </row>
    <row r="3" spans="1:9" ht="45.75" customHeight="1">
      <c r="A3" s="181" t="s">
        <v>307</v>
      </c>
      <c r="B3" s="181"/>
      <c r="C3" s="181"/>
      <c r="D3" s="181"/>
      <c r="E3" s="181"/>
      <c r="F3" s="181"/>
      <c r="G3" s="181"/>
      <c r="H3" s="181"/>
      <c r="I3" s="181"/>
    </row>
    <row r="4" spans="3:57" s="94" customFormat="1" ht="15.75" customHeight="1">
      <c r="C4" s="114"/>
      <c r="D4" s="114"/>
      <c r="E4" s="114"/>
      <c r="F4" s="95"/>
      <c r="G4" s="95"/>
      <c r="H4" s="86"/>
      <c r="I4" s="184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</row>
    <row r="5" spans="1:57" s="104" customFormat="1" ht="33" customHeight="1">
      <c r="A5" s="175" t="s">
        <v>92</v>
      </c>
      <c r="B5" s="177" t="s">
        <v>1</v>
      </c>
      <c r="C5" s="178"/>
      <c r="D5" s="177" t="s">
        <v>93</v>
      </c>
      <c r="E5" s="180"/>
      <c r="F5" s="180"/>
      <c r="G5" s="180"/>
      <c r="H5" s="178"/>
      <c r="I5" s="185" t="s">
        <v>119</v>
      </c>
      <c r="J5" s="103"/>
      <c r="K5" s="103"/>
      <c r="L5" s="103"/>
      <c r="M5" s="103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</row>
    <row r="6" spans="1:57" s="104" customFormat="1" ht="52.5" customHeight="1">
      <c r="A6" s="176"/>
      <c r="B6" s="87" t="s">
        <v>54</v>
      </c>
      <c r="C6" s="118" t="s">
        <v>102</v>
      </c>
      <c r="D6" s="119" t="s">
        <v>108</v>
      </c>
      <c r="E6" s="119" t="s">
        <v>109</v>
      </c>
      <c r="F6" s="118" t="s">
        <v>122</v>
      </c>
      <c r="G6" s="118" t="s">
        <v>103</v>
      </c>
      <c r="H6" s="118" t="s">
        <v>102</v>
      </c>
      <c r="I6" s="186"/>
      <c r="J6" s="103"/>
      <c r="K6" s="103"/>
      <c r="L6" s="103"/>
      <c r="M6" s="103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</row>
    <row r="7" spans="1:57" s="98" customFormat="1" ht="9.75" customHeight="1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87">
        <v>9</v>
      </c>
      <c r="J7" s="96"/>
      <c r="K7" s="96"/>
      <c r="L7" s="96"/>
      <c r="M7" s="96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</row>
    <row r="8" spans="1:57" s="109" customFormat="1" ht="21.75" customHeight="1">
      <c r="A8" s="163" t="s">
        <v>91</v>
      </c>
      <c r="B8" s="163"/>
      <c r="C8" s="163"/>
      <c r="D8" s="163"/>
      <c r="E8" s="163"/>
      <c r="F8" s="163"/>
      <c r="G8" s="163"/>
      <c r="H8" s="163"/>
      <c r="I8" s="163"/>
      <c r="J8" s="96"/>
      <c r="K8" s="96"/>
      <c r="L8" s="96"/>
      <c r="M8" s="96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</row>
    <row r="9" spans="1:57" s="109" customFormat="1" ht="25.5" customHeight="1">
      <c r="A9" s="125">
        <v>1</v>
      </c>
      <c r="B9" s="110"/>
      <c r="C9" s="115"/>
      <c r="D9" s="110">
        <v>44244</v>
      </c>
      <c r="E9" s="126" t="s">
        <v>110</v>
      </c>
      <c r="F9" s="107" t="s">
        <v>55</v>
      </c>
      <c r="G9" s="108" t="s">
        <v>56</v>
      </c>
      <c r="H9" s="115">
        <v>10000</v>
      </c>
      <c r="I9" s="188">
        <f>C9-H9</f>
        <v>-10000</v>
      </c>
      <c r="J9" s="96"/>
      <c r="K9" s="148"/>
      <c r="L9" s="96"/>
      <c r="M9" s="96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</row>
    <row r="10" spans="1:57" s="104" customFormat="1" ht="19.5" customHeight="1">
      <c r="A10" s="106">
        <v>2</v>
      </c>
      <c r="B10" s="130">
        <v>44420</v>
      </c>
      <c r="C10" s="124">
        <v>10000</v>
      </c>
      <c r="D10" s="124"/>
      <c r="E10" s="132"/>
      <c r="F10" s="133"/>
      <c r="G10" s="134"/>
      <c r="H10" s="124"/>
      <c r="I10" s="189">
        <f>C10-H9</f>
        <v>0</v>
      </c>
      <c r="J10" s="103"/>
      <c r="K10" s="103"/>
      <c r="L10" s="103"/>
      <c r="M10" s="103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</row>
    <row r="11" spans="1:57" s="104" customFormat="1" ht="19.5" customHeight="1">
      <c r="A11" s="123"/>
      <c r="B11" s="164" t="s">
        <v>144</v>
      </c>
      <c r="C11" s="165"/>
      <c r="D11" s="166"/>
      <c r="E11" s="166"/>
      <c r="F11" s="166"/>
      <c r="G11" s="167"/>
      <c r="H11" s="124"/>
      <c r="I11" s="190"/>
      <c r="J11" s="103"/>
      <c r="K11" s="103"/>
      <c r="L11" s="103"/>
      <c r="M11" s="103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</row>
    <row r="12" spans="1:57" s="104" customFormat="1" ht="19.5" customHeight="1" thickBot="1">
      <c r="A12" s="139"/>
      <c r="B12" s="140"/>
      <c r="C12" s="141">
        <f>C10</f>
        <v>10000</v>
      </c>
      <c r="D12" s="141"/>
      <c r="E12" s="142"/>
      <c r="F12" s="143"/>
      <c r="G12" s="144"/>
      <c r="H12" s="145">
        <f>H9</f>
        <v>10000</v>
      </c>
      <c r="I12" s="191">
        <f>I10</f>
        <v>0</v>
      </c>
      <c r="J12" s="103"/>
      <c r="K12" s="103"/>
      <c r="L12" s="103"/>
      <c r="M12" s="103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</row>
    <row r="13" spans="1:57" s="109" customFormat="1" ht="21.75" customHeight="1" thickTop="1">
      <c r="A13" s="163" t="s">
        <v>94</v>
      </c>
      <c r="B13" s="163"/>
      <c r="C13" s="163"/>
      <c r="D13" s="163"/>
      <c r="E13" s="163"/>
      <c r="F13" s="163"/>
      <c r="G13" s="163"/>
      <c r="H13" s="163"/>
      <c r="I13" s="163"/>
      <c r="J13" s="96"/>
      <c r="K13" s="96"/>
      <c r="L13" s="96"/>
      <c r="M13" s="96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</row>
    <row r="14" spans="1:57" s="104" customFormat="1" ht="19.5" customHeight="1">
      <c r="A14" s="99">
        <v>1</v>
      </c>
      <c r="B14" s="129">
        <v>44302</v>
      </c>
      <c r="C14" s="117">
        <v>128745.54</v>
      </c>
      <c r="D14" s="117"/>
      <c r="E14" s="112"/>
      <c r="F14" s="102"/>
      <c r="G14" s="131"/>
      <c r="H14" s="124"/>
      <c r="I14" s="190"/>
      <c r="J14" s="103"/>
      <c r="K14" s="103"/>
      <c r="L14" s="103"/>
      <c r="M14" s="103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</row>
    <row r="15" spans="1:13" ht="19.5" customHeight="1">
      <c r="A15" s="99">
        <v>2</v>
      </c>
      <c r="B15" s="122"/>
      <c r="C15" s="116"/>
      <c r="D15" s="110">
        <v>44347</v>
      </c>
      <c r="E15" s="111" t="s">
        <v>111</v>
      </c>
      <c r="F15" s="100" t="s">
        <v>73</v>
      </c>
      <c r="G15" s="101" t="s">
        <v>74</v>
      </c>
      <c r="H15" s="115">
        <v>104434</v>
      </c>
      <c r="I15" s="188">
        <f>C14-H15</f>
        <v>24311.539999999994</v>
      </c>
      <c r="J15" s="91"/>
      <c r="K15" s="91"/>
      <c r="L15" s="91"/>
      <c r="M15" s="91"/>
    </row>
    <row r="16" spans="1:13" ht="19.5" customHeight="1">
      <c r="A16" s="99">
        <v>3</v>
      </c>
      <c r="B16" s="99"/>
      <c r="C16" s="116"/>
      <c r="D16" s="110">
        <v>44347</v>
      </c>
      <c r="E16" s="111" t="s">
        <v>112</v>
      </c>
      <c r="F16" s="100" t="s">
        <v>73</v>
      </c>
      <c r="G16" s="101" t="s">
        <v>75</v>
      </c>
      <c r="H16" s="115">
        <v>25612</v>
      </c>
      <c r="I16" s="188">
        <f>I15-H16</f>
        <v>-1300.4600000000064</v>
      </c>
      <c r="J16" s="91"/>
      <c r="K16" s="148"/>
      <c r="L16" s="91"/>
      <c r="M16" s="91"/>
    </row>
    <row r="17" spans="1:57" s="104" customFormat="1" ht="19.5" customHeight="1">
      <c r="A17" s="106">
        <v>4</v>
      </c>
      <c r="B17" s="130">
        <v>44376</v>
      </c>
      <c r="C17" s="124">
        <v>1300.46</v>
      </c>
      <c r="D17" s="124"/>
      <c r="E17" s="132"/>
      <c r="F17" s="133"/>
      <c r="G17" s="134"/>
      <c r="H17" s="124"/>
      <c r="I17" s="192">
        <f>-(I16+C17)</f>
        <v>6.366462912410498E-12</v>
      </c>
      <c r="J17" s="103"/>
      <c r="K17" s="103"/>
      <c r="L17" s="103"/>
      <c r="M17" s="103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</row>
    <row r="18" spans="1:57" s="104" customFormat="1" ht="19.5" customHeight="1">
      <c r="A18" s="123"/>
      <c r="B18" s="164" t="s">
        <v>143</v>
      </c>
      <c r="C18" s="165"/>
      <c r="D18" s="166"/>
      <c r="E18" s="166"/>
      <c r="F18" s="166"/>
      <c r="G18" s="167"/>
      <c r="H18" s="124"/>
      <c r="I18" s="190"/>
      <c r="J18" s="103"/>
      <c r="K18" s="103"/>
      <c r="L18" s="103"/>
      <c r="M18" s="103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</row>
    <row r="19" spans="1:57" s="104" customFormat="1" ht="19.5" customHeight="1" thickBot="1">
      <c r="A19" s="139"/>
      <c r="B19" s="140"/>
      <c r="C19" s="141">
        <f>C14+C17</f>
        <v>130046</v>
      </c>
      <c r="D19" s="141"/>
      <c r="E19" s="142"/>
      <c r="F19" s="143"/>
      <c r="G19" s="144"/>
      <c r="H19" s="145">
        <f>H15+H16</f>
        <v>130046</v>
      </c>
      <c r="I19" s="191">
        <v>0</v>
      </c>
      <c r="J19" s="103"/>
      <c r="K19" s="103"/>
      <c r="L19" s="103"/>
      <c r="M19" s="103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</row>
    <row r="20" spans="1:57" s="109" customFormat="1" ht="21.75" customHeight="1" thickTop="1">
      <c r="A20" s="163" t="s">
        <v>229</v>
      </c>
      <c r="B20" s="163"/>
      <c r="C20" s="163"/>
      <c r="D20" s="163"/>
      <c r="E20" s="163"/>
      <c r="F20" s="163"/>
      <c r="G20" s="163"/>
      <c r="H20" s="163"/>
      <c r="I20" s="163"/>
      <c r="J20" s="96"/>
      <c r="K20" s="96"/>
      <c r="L20" s="96"/>
      <c r="M20" s="96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</row>
    <row r="21" spans="1:57" s="104" customFormat="1" ht="19.5" customHeight="1">
      <c r="A21" s="99">
        <v>1</v>
      </c>
      <c r="B21" s="129">
        <v>44189</v>
      </c>
      <c r="C21" s="117">
        <v>457360.4</v>
      </c>
      <c r="D21" s="130"/>
      <c r="E21" s="128"/>
      <c r="F21" s="102"/>
      <c r="G21" s="131"/>
      <c r="H21" s="124"/>
      <c r="I21" s="190"/>
      <c r="J21" s="103"/>
      <c r="K21" s="103"/>
      <c r="L21" s="103"/>
      <c r="M21" s="103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</row>
    <row r="22" spans="1:13" ht="36" customHeight="1">
      <c r="A22" s="99">
        <v>2</v>
      </c>
      <c r="B22" s="99"/>
      <c r="C22" s="116"/>
      <c r="D22" s="122">
        <v>44197</v>
      </c>
      <c r="E22" s="127" t="s">
        <v>150</v>
      </c>
      <c r="F22" s="100"/>
      <c r="G22" s="101" t="s">
        <v>156</v>
      </c>
      <c r="H22" s="115">
        <f>85988.13+621</f>
        <v>86609.13</v>
      </c>
      <c r="I22" s="188">
        <f>C21-H22</f>
        <v>370751.27</v>
      </c>
      <c r="J22" s="91"/>
      <c r="K22" s="91"/>
      <c r="L22" s="91"/>
      <c r="M22" s="91"/>
    </row>
    <row r="23" spans="1:13" ht="24.75" customHeight="1">
      <c r="A23" s="99">
        <v>3</v>
      </c>
      <c r="B23" s="99"/>
      <c r="C23" s="116"/>
      <c r="D23" s="110">
        <v>44197</v>
      </c>
      <c r="E23" s="127" t="s">
        <v>121</v>
      </c>
      <c r="F23" s="100"/>
      <c r="G23" s="101" t="s">
        <v>157</v>
      </c>
      <c r="H23" s="115">
        <v>167856</v>
      </c>
      <c r="I23" s="188">
        <f>I22-H23</f>
        <v>202895.27000000002</v>
      </c>
      <c r="J23" s="91"/>
      <c r="K23" s="91"/>
      <c r="L23" s="91"/>
      <c r="M23" s="91"/>
    </row>
    <row r="24" spans="1:13" ht="38.25" customHeight="1">
      <c r="A24" s="99">
        <v>4</v>
      </c>
      <c r="B24" s="99"/>
      <c r="C24" s="116"/>
      <c r="D24" s="122">
        <v>44197</v>
      </c>
      <c r="E24" s="127" t="s">
        <v>158</v>
      </c>
      <c r="F24" s="100" t="s">
        <v>185</v>
      </c>
      <c r="G24" s="101" t="s">
        <v>163</v>
      </c>
      <c r="H24" s="115">
        <v>3000</v>
      </c>
      <c r="I24" s="188">
        <f aca="true" t="shared" si="0" ref="I24:I46">I23-H24</f>
        <v>199895.27000000002</v>
      </c>
      <c r="J24" s="91"/>
      <c r="K24" s="91"/>
      <c r="L24" s="91"/>
      <c r="M24" s="91"/>
    </row>
    <row r="25" spans="1:13" ht="36" customHeight="1">
      <c r="A25" s="99">
        <v>5</v>
      </c>
      <c r="B25" s="99"/>
      <c r="C25" s="116"/>
      <c r="D25" s="122">
        <v>44197</v>
      </c>
      <c r="E25" s="127" t="s">
        <v>160</v>
      </c>
      <c r="F25" s="100" t="s">
        <v>185</v>
      </c>
      <c r="G25" s="101" t="s">
        <v>162</v>
      </c>
      <c r="H25" s="115">
        <v>12000</v>
      </c>
      <c r="I25" s="188">
        <f t="shared" si="0"/>
        <v>187895.27000000002</v>
      </c>
      <c r="J25" s="91"/>
      <c r="K25" s="91"/>
      <c r="L25" s="91"/>
      <c r="M25" s="91"/>
    </row>
    <row r="26" spans="1:13" ht="38.25" customHeight="1">
      <c r="A26" s="99">
        <v>6</v>
      </c>
      <c r="B26" s="99"/>
      <c r="C26" s="116"/>
      <c r="D26" s="122">
        <v>44197</v>
      </c>
      <c r="E26" s="127" t="s">
        <v>158</v>
      </c>
      <c r="F26" s="100" t="s">
        <v>185</v>
      </c>
      <c r="G26" s="101" t="s">
        <v>161</v>
      </c>
      <c r="H26" s="115">
        <v>2630</v>
      </c>
      <c r="I26" s="188">
        <f t="shared" si="0"/>
        <v>185265.27000000002</v>
      </c>
      <c r="J26" s="91"/>
      <c r="K26" s="91"/>
      <c r="L26" s="91"/>
      <c r="M26" s="91"/>
    </row>
    <row r="27" spans="1:13" ht="24.75" customHeight="1">
      <c r="A27" s="99">
        <v>7</v>
      </c>
      <c r="B27" s="99"/>
      <c r="C27" s="116"/>
      <c r="D27" s="110">
        <v>44197</v>
      </c>
      <c r="E27" s="127" t="s">
        <v>166</v>
      </c>
      <c r="F27" s="100" t="s">
        <v>165</v>
      </c>
      <c r="G27" s="101" t="s">
        <v>167</v>
      </c>
      <c r="H27" s="115">
        <v>351.18</v>
      </c>
      <c r="I27" s="188">
        <f t="shared" si="0"/>
        <v>184914.09000000003</v>
      </c>
      <c r="J27" s="91"/>
      <c r="K27" s="91"/>
      <c r="L27" s="91"/>
      <c r="M27" s="91"/>
    </row>
    <row r="28" spans="1:13" ht="24.75" customHeight="1">
      <c r="A28" s="99">
        <v>8</v>
      </c>
      <c r="B28" s="99"/>
      <c r="C28" s="116"/>
      <c r="D28" s="110">
        <v>44197</v>
      </c>
      <c r="E28" s="127" t="s">
        <v>170</v>
      </c>
      <c r="F28" s="100" t="s">
        <v>63</v>
      </c>
      <c r="G28" s="101" t="s">
        <v>169</v>
      </c>
      <c r="H28" s="115">
        <v>550.4</v>
      </c>
      <c r="I28" s="188">
        <f t="shared" si="0"/>
        <v>184363.69000000003</v>
      </c>
      <c r="J28" s="91"/>
      <c r="K28" s="91"/>
      <c r="L28" s="91"/>
      <c r="M28" s="91"/>
    </row>
    <row r="29" spans="1:13" ht="24.75" customHeight="1" hidden="1">
      <c r="A29" s="99">
        <v>9</v>
      </c>
      <c r="B29" s="99"/>
      <c r="C29" s="116"/>
      <c r="D29" s="110">
        <v>44197</v>
      </c>
      <c r="E29" s="127" t="s">
        <v>171</v>
      </c>
      <c r="F29" s="100" t="s">
        <v>55</v>
      </c>
      <c r="G29" s="101" t="s">
        <v>56</v>
      </c>
      <c r="H29" s="115"/>
      <c r="I29" s="188">
        <f t="shared" si="0"/>
        <v>184363.69000000003</v>
      </c>
      <c r="J29" s="91"/>
      <c r="K29" s="91"/>
      <c r="L29" s="91"/>
      <c r="M29" s="91"/>
    </row>
    <row r="30" spans="1:13" ht="24.75" customHeight="1">
      <c r="A30" s="99">
        <v>9</v>
      </c>
      <c r="B30" s="99"/>
      <c r="C30" s="116"/>
      <c r="D30" s="110">
        <v>44206</v>
      </c>
      <c r="E30" s="127" t="s">
        <v>172</v>
      </c>
      <c r="F30" s="100" t="s">
        <v>57</v>
      </c>
      <c r="G30" s="101" t="s">
        <v>173</v>
      </c>
      <c r="H30" s="115">
        <v>42000</v>
      </c>
      <c r="I30" s="188">
        <f>I29-H30</f>
        <v>142363.69000000003</v>
      </c>
      <c r="J30" s="91"/>
      <c r="K30" s="91"/>
      <c r="L30" s="91"/>
      <c r="M30" s="91"/>
    </row>
    <row r="31" spans="1:13" ht="24.75" customHeight="1">
      <c r="A31" s="99">
        <v>10</v>
      </c>
      <c r="B31" s="99"/>
      <c r="C31" s="116"/>
      <c r="D31" s="110">
        <v>44225</v>
      </c>
      <c r="E31" s="127" t="s">
        <v>174</v>
      </c>
      <c r="F31" s="100" t="s">
        <v>60</v>
      </c>
      <c r="G31" s="101" t="s">
        <v>175</v>
      </c>
      <c r="H31" s="115">
        <v>18720</v>
      </c>
      <c r="I31" s="188">
        <f t="shared" si="0"/>
        <v>123643.69000000003</v>
      </c>
      <c r="J31" s="91"/>
      <c r="K31" s="91"/>
      <c r="L31" s="91"/>
      <c r="M31" s="91"/>
    </row>
    <row r="32" spans="1:13" ht="24.75" customHeight="1">
      <c r="A32" s="99">
        <v>11</v>
      </c>
      <c r="B32" s="99"/>
      <c r="C32" s="116"/>
      <c r="D32" s="110">
        <v>44225</v>
      </c>
      <c r="E32" s="127" t="s">
        <v>176</v>
      </c>
      <c r="F32" s="100" t="s">
        <v>61</v>
      </c>
      <c r="G32" s="101" t="s">
        <v>62</v>
      </c>
      <c r="H32" s="115">
        <v>32479.56</v>
      </c>
      <c r="I32" s="188">
        <f t="shared" si="0"/>
        <v>91164.13000000003</v>
      </c>
      <c r="J32" s="91"/>
      <c r="K32" s="91"/>
      <c r="L32" s="91"/>
      <c r="M32" s="91"/>
    </row>
    <row r="33" spans="1:13" ht="24.75" customHeight="1">
      <c r="A33" s="99">
        <v>12</v>
      </c>
      <c r="B33" s="99"/>
      <c r="C33" s="116"/>
      <c r="D33" s="110">
        <v>44225</v>
      </c>
      <c r="E33" s="127" t="s">
        <v>178</v>
      </c>
      <c r="F33" s="100" t="s">
        <v>63</v>
      </c>
      <c r="G33" s="101" t="s">
        <v>177</v>
      </c>
      <c r="H33" s="115">
        <v>8400</v>
      </c>
      <c r="I33" s="188">
        <f t="shared" si="0"/>
        <v>82764.13000000003</v>
      </c>
      <c r="J33" s="91"/>
      <c r="K33" s="91"/>
      <c r="L33" s="91"/>
      <c r="M33" s="91"/>
    </row>
    <row r="34" spans="1:13" ht="24.75" customHeight="1">
      <c r="A34" s="99">
        <v>13</v>
      </c>
      <c r="B34" s="99"/>
      <c r="C34" s="116"/>
      <c r="D34" s="110">
        <v>44227</v>
      </c>
      <c r="E34" s="127" t="s">
        <v>183</v>
      </c>
      <c r="F34" s="100" t="s">
        <v>185</v>
      </c>
      <c r="G34" s="101" t="s">
        <v>184</v>
      </c>
      <c r="H34" s="115">
        <f>33116+ROUND(33116*27.1%,2)+0.01</f>
        <v>42090.450000000004</v>
      </c>
      <c r="I34" s="188">
        <f t="shared" si="0"/>
        <v>40673.68000000003</v>
      </c>
      <c r="J34" s="91"/>
      <c r="K34" s="91"/>
      <c r="L34" s="91"/>
      <c r="M34" s="91"/>
    </row>
    <row r="35" spans="1:13" ht="24.75" customHeight="1">
      <c r="A35" s="99">
        <v>14</v>
      </c>
      <c r="B35" s="99"/>
      <c r="C35" s="116"/>
      <c r="D35" s="110">
        <v>44244</v>
      </c>
      <c r="E35" s="127" t="s">
        <v>179</v>
      </c>
      <c r="F35" s="100" t="s">
        <v>65</v>
      </c>
      <c r="G35" s="101" t="s">
        <v>231</v>
      </c>
      <c r="H35" s="115">
        <v>9650</v>
      </c>
      <c r="I35" s="188">
        <f t="shared" si="0"/>
        <v>31023.68000000003</v>
      </c>
      <c r="J35" s="91"/>
      <c r="K35" s="91"/>
      <c r="L35" s="91"/>
      <c r="M35" s="91"/>
    </row>
    <row r="36" spans="1:13" ht="24.75" customHeight="1">
      <c r="A36" s="99">
        <v>15</v>
      </c>
      <c r="B36" s="99"/>
      <c r="C36" s="116"/>
      <c r="D36" s="110">
        <v>44255</v>
      </c>
      <c r="E36" s="127" t="s">
        <v>186</v>
      </c>
      <c r="F36" s="100" t="s">
        <v>185</v>
      </c>
      <c r="G36" s="101" t="s">
        <v>184</v>
      </c>
      <c r="H36" s="115">
        <f>33116+ROUND(33116*27.1%,2)+0.01</f>
        <v>42090.450000000004</v>
      </c>
      <c r="I36" s="188">
        <f t="shared" si="0"/>
        <v>-11066.769999999975</v>
      </c>
      <c r="J36" s="150"/>
      <c r="K36" s="149"/>
      <c r="L36" s="91"/>
      <c r="M36" s="91"/>
    </row>
    <row r="37" spans="1:13" ht="24.75" customHeight="1">
      <c r="A37" s="99">
        <v>16</v>
      </c>
      <c r="B37" s="99"/>
      <c r="C37" s="116"/>
      <c r="D37" s="110">
        <v>44257</v>
      </c>
      <c r="E37" s="88" t="s">
        <v>180</v>
      </c>
      <c r="F37" s="100" t="s">
        <v>66</v>
      </c>
      <c r="G37" s="101" t="s">
        <v>67</v>
      </c>
      <c r="H37" s="115">
        <v>8700</v>
      </c>
      <c r="I37" s="188">
        <f t="shared" si="0"/>
        <v>-19766.769999999975</v>
      </c>
      <c r="J37" s="150"/>
      <c r="K37" s="91"/>
      <c r="L37" s="91"/>
      <c r="M37" s="91"/>
    </row>
    <row r="38" spans="1:13" ht="24.75" customHeight="1">
      <c r="A38" s="99">
        <v>17</v>
      </c>
      <c r="B38" s="99"/>
      <c r="C38" s="116"/>
      <c r="D38" s="110">
        <v>44257</v>
      </c>
      <c r="E38" s="88" t="s">
        <v>181</v>
      </c>
      <c r="F38" s="100" t="s">
        <v>55</v>
      </c>
      <c r="G38" s="101" t="s">
        <v>68</v>
      </c>
      <c r="H38" s="115">
        <v>2700</v>
      </c>
      <c r="I38" s="188">
        <f t="shared" si="0"/>
        <v>-22466.769999999975</v>
      </c>
      <c r="J38" s="150"/>
      <c r="K38" s="91"/>
      <c r="L38" s="91"/>
      <c r="M38" s="91"/>
    </row>
    <row r="39" spans="1:13" ht="24.75" customHeight="1">
      <c r="A39" s="99">
        <v>18</v>
      </c>
      <c r="B39" s="99"/>
      <c r="C39" s="116"/>
      <c r="D39" s="110">
        <v>44259</v>
      </c>
      <c r="E39" s="127" t="s">
        <v>168</v>
      </c>
      <c r="F39" s="100" t="s">
        <v>105</v>
      </c>
      <c r="G39" s="101" t="s">
        <v>107</v>
      </c>
      <c r="H39" s="115">
        <v>5000</v>
      </c>
      <c r="I39" s="188">
        <f t="shared" si="0"/>
        <v>-27466.769999999975</v>
      </c>
      <c r="J39" s="150"/>
      <c r="K39" s="91"/>
      <c r="L39" s="91"/>
      <c r="M39" s="91"/>
    </row>
    <row r="40" spans="1:13" ht="24.75" customHeight="1">
      <c r="A40" s="99">
        <v>19</v>
      </c>
      <c r="B40" s="99"/>
      <c r="C40" s="116"/>
      <c r="D40" s="110">
        <v>44280</v>
      </c>
      <c r="E40" s="88" t="s">
        <v>211</v>
      </c>
      <c r="F40" s="100" t="s">
        <v>63</v>
      </c>
      <c r="G40" s="101" t="s">
        <v>70</v>
      </c>
      <c r="H40" s="115">
        <v>3600</v>
      </c>
      <c r="I40" s="188">
        <f t="shared" si="0"/>
        <v>-31066.769999999975</v>
      </c>
      <c r="J40" s="150"/>
      <c r="K40" s="91"/>
      <c r="L40" s="91"/>
      <c r="M40" s="91"/>
    </row>
    <row r="41" spans="1:13" ht="24.75" customHeight="1">
      <c r="A41" s="99">
        <v>20</v>
      </c>
      <c r="B41" s="99"/>
      <c r="C41" s="116"/>
      <c r="D41" s="110">
        <v>44280</v>
      </c>
      <c r="E41" s="88" t="s">
        <v>212</v>
      </c>
      <c r="F41" s="100" t="s">
        <v>71</v>
      </c>
      <c r="G41" s="101" t="s">
        <v>182</v>
      </c>
      <c r="H41" s="115">
        <v>4800</v>
      </c>
      <c r="I41" s="188">
        <f t="shared" si="0"/>
        <v>-35866.769999999975</v>
      </c>
      <c r="J41" s="150"/>
      <c r="K41" s="91"/>
      <c r="L41" s="91"/>
      <c r="M41" s="91"/>
    </row>
    <row r="42" spans="1:13" ht="24.75" customHeight="1">
      <c r="A42" s="99">
        <v>21</v>
      </c>
      <c r="B42" s="99"/>
      <c r="C42" s="116"/>
      <c r="D42" s="110">
        <v>44286</v>
      </c>
      <c r="E42" s="127" t="s">
        <v>187</v>
      </c>
      <c r="F42" s="100" t="s">
        <v>185</v>
      </c>
      <c r="G42" s="101" t="s">
        <v>184</v>
      </c>
      <c r="H42" s="115">
        <f>39438+ROUND(39438*27.1%,2)</f>
        <v>50125.7</v>
      </c>
      <c r="I42" s="188">
        <f t="shared" si="0"/>
        <v>-85992.46999999997</v>
      </c>
      <c r="J42" s="150"/>
      <c r="K42" s="91"/>
      <c r="L42" s="91"/>
      <c r="M42" s="91"/>
    </row>
    <row r="43" spans="1:13" ht="24.75" customHeight="1">
      <c r="A43" s="99">
        <v>22</v>
      </c>
      <c r="B43" s="99"/>
      <c r="C43" s="116"/>
      <c r="D43" s="110">
        <v>44316</v>
      </c>
      <c r="E43" s="127" t="s">
        <v>188</v>
      </c>
      <c r="F43" s="100" t="s">
        <v>185</v>
      </c>
      <c r="G43" s="101" t="s">
        <v>184</v>
      </c>
      <c r="H43" s="115">
        <f>33116+ROUND(33116*27.1%,2)+0.01</f>
        <v>42090.450000000004</v>
      </c>
      <c r="I43" s="188">
        <f t="shared" si="0"/>
        <v>-128082.91999999998</v>
      </c>
      <c r="J43" s="150"/>
      <c r="K43" s="91"/>
      <c r="L43" s="91"/>
      <c r="M43" s="91"/>
    </row>
    <row r="44" spans="1:13" ht="24.75" customHeight="1">
      <c r="A44" s="99">
        <v>23</v>
      </c>
      <c r="B44" s="99"/>
      <c r="C44" s="116"/>
      <c r="D44" s="110">
        <v>44347</v>
      </c>
      <c r="E44" s="127" t="s">
        <v>189</v>
      </c>
      <c r="F44" s="100" t="s">
        <v>185</v>
      </c>
      <c r="G44" s="101" t="s">
        <v>184</v>
      </c>
      <c r="H44" s="115">
        <f>33116+ROUND(33116*27.1%,2)+0.01</f>
        <v>42090.450000000004</v>
      </c>
      <c r="I44" s="188">
        <f t="shared" si="0"/>
        <v>-170173.37</v>
      </c>
      <c r="J44" s="150"/>
      <c r="K44" s="91"/>
      <c r="L44" s="91"/>
      <c r="M44" s="91"/>
    </row>
    <row r="45" spans="1:13" ht="19.5" customHeight="1">
      <c r="A45" s="99">
        <v>24</v>
      </c>
      <c r="B45" s="122"/>
      <c r="C45" s="116"/>
      <c r="D45" s="110">
        <v>44348</v>
      </c>
      <c r="E45" s="127" t="s">
        <v>116</v>
      </c>
      <c r="F45" s="100" t="s">
        <v>63</v>
      </c>
      <c r="G45" s="101" t="s">
        <v>76</v>
      </c>
      <c r="H45" s="115">
        <v>8900</v>
      </c>
      <c r="I45" s="188">
        <f t="shared" si="0"/>
        <v>-179073.37</v>
      </c>
      <c r="J45" s="150"/>
      <c r="K45" s="91"/>
      <c r="L45" s="91"/>
      <c r="M45" s="91"/>
    </row>
    <row r="46" spans="1:13" ht="38.25" customHeight="1">
      <c r="A46" s="99">
        <v>25</v>
      </c>
      <c r="B46" s="99"/>
      <c r="C46" s="116"/>
      <c r="D46" s="122">
        <v>44373</v>
      </c>
      <c r="E46" s="127" t="s">
        <v>190</v>
      </c>
      <c r="F46" s="100" t="s">
        <v>185</v>
      </c>
      <c r="G46" s="101" t="s">
        <v>230</v>
      </c>
      <c r="H46" s="115">
        <f>6897+ROUND(6897*27.1%,2)+0.01</f>
        <v>8766.1</v>
      </c>
      <c r="I46" s="188">
        <f t="shared" si="0"/>
        <v>-187839.47</v>
      </c>
      <c r="J46" s="150"/>
      <c r="K46" s="148"/>
      <c r="L46" s="91"/>
      <c r="M46" s="91"/>
    </row>
    <row r="47" spans="1:57" s="104" customFormat="1" ht="19.5" customHeight="1">
      <c r="A47" s="99">
        <v>26</v>
      </c>
      <c r="B47" s="129">
        <v>44376</v>
      </c>
      <c r="C47" s="117">
        <f>123500.14+66938</f>
        <v>190438.14</v>
      </c>
      <c r="D47" s="130"/>
      <c r="E47" s="128"/>
      <c r="F47" s="102"/>
      <c r="G47" s="131"/>
      <c r="H47" s="124"/>
      <c r="I47" s="190">
        <f>I46+C47</f>
        <v>2598.670000000013</v>
      </c>
      <c r="J47" s="103"/>
      <c r="K47" s="103"/>
      <c r="L47" s="103"/>
      <c r="M47" s="103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</row>
    <row r="48" spans="1:57" s="104" customFormat="1" ht="19.5" customHeight="1">
      <c r="A48" s="99">
        <v>27</v>
      </c>
      <c r="B48" s="129">
        <v>44377</v>
      </c>
      <c r="C48" s="189">
        <v>-7350</v>
      </c>
      <c r="D48" s="130"/>
      <c r="E48" s="128"/>
      <c r="F48" s="102"/>
      <c r="G48" s="131"/>
      <c r="H48" s="124"/>
      <c r="I48" s="190">
        <f>I47+C48</f>
        <v>-4751.329999999987</v>
      </c>
      <c r="J48" s="103"/>
      <c r="K48" s="103"/>
      <c r="L48" s="103"/>
      <c r="M48" s="103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</row>
    <row r="49" spans="1:13" ht="38.25" customHeight="1">
      <c r="A49" s="99">
        <v>28</v>
      </c>
      <c r="B49" s="99"/>
      <c r="C49" s="116"/>
      <c r="D49" s="122">
        <v>44377</v>
      </c>
      <c r="E49" s="127" t="s">
        <v>178</v>
      </c>
      <c r="F49" s="100" t="s">
        <v>63</v>
      </c>
      <c r="G49" s="101" t="s">
        <v>197</v>
      </c>
      <c r="H49" s="188">
        <v>-2000</v>
      </c>
      <c r="I49" s="188">
        <f>I48-H49</f>
        <v>-2751.329999999987</v>
      </c>
      <c r="J49" s="91"/>
      <c r="K49" s="91"/>
      <c r="L49" s="91"/>
      <c r="M49" s="91"/>
    </row>
    <row r="50" spans="1:13" ht="24.75" customHeight="1">
      <c r="A50" s="99">
        <v>29</v>
      </c>
      <c r="B50" s="99"/>
      <c r="C50" s="116"/>
      <c r="D50" s="110">
        <v>44377</v>
      </c>
      <c r="E50" s="127" t="s">
        <v>191</v>
      </c>
      <c r="F50" s="100" t="s">
        <v>185</v>
      </c>
      <c r="G50" s="101" t="s">
        <v>184</v>
      </c>
      <c r="H50" s="115">
        <f>11495+ROUND(11495*27.1%,2)</f>
        <v>14610.15</v>
      </c>
      <c r="I50" s="188">
        <f>I49-H50</f>
        <v>-17361.47999999999</v>
      </c>
      <c r="J50" s="150"/>
      <c r="K50" s="91"/>
      <c r="L50" s="91"/>
      <c r="M50" s="91"/>
    </row>
    <row r="51" spans="1:13" ht="24.75" customHeight="1">
      <c r="A51" s="99">
        <v>30</v>
      </c>
      <c r="B51" s="99"/>
      <c r="C51" s="116"/>
      <c r="D51" s="110">
        <v>44379</v>
      </c>
      <c r="E51" s="127" t="s">
        <v>194</v>
      </c>
      <c r="F51" s="100" t="s">
        <v>195</v>
      </c>
      <c r="G51" s="101" t="s">
        <v>196</v>
      </c>
      <c r="H51" s="115">
        <v>1000</v>
      </c>
      <c r="I51" s="188">
        <f>I50-H51</f>
        <v>-18361.47999999999</v>
      </c>
      <c r="J51" s="150"/>
      <c r="K51" s="91"/>
      <c r="L51" s="91"/>
      <c r="M51" s="91"/>
    </row>
    <row r="52" spans="1:13" ht="24.75" customHeight="1">
      <c r="A52" s="99">
        <v>31</v>
      </c>
      <c r="B52" s="99"/>
      <c r="C52" s="116"/>
      <c r="D52" s="110">
        <v>44408</v>
      </c>
      <c r="E52" s="127" t="s">
        <v>192</v>
      </c>
      <c r="F52" s="100" t="s">
        <v>185</v>
      </c>
      <c r="G52" s="101" t="s">
        <v>184</v>
      </c>
      <c r="H52" s="115">
        <f>8933+ROUND(8933*27.1%,2)+0.01</f>
        <v>11353.85</v>
      </c>
      <c r="I52" s="188">
        <f>I51-H52</f>
        <v>-29715.329999999987</v>
      </c>
      <c r="J52" s="150"/>
      <c r="K52" s="91"/>
      <c r="L52" s="91"/>
      <c r="M52" s="91"/>
    </row>
    <row r="53" spans="1:13" ht="24.75" customHeight="1">
      <c r="A53" s="99">
        <v>32</v>
      </c>
      <c r="B53" s="99"/>
      <c r="C53" s="116"/>
      <c r="D53" s="110">
        <v>44409</v>
      </c>
      <c r="E53" s="127" t="s">
        <v>193</v>
      </c>
      <c r="F53" s="100" t="s">
        <v>77</v>
      </c>
      <c r="G53" s="101" t="s">
        <v>173</v>
      </c>
      <c r="H53" s="115">
        <v>17500</v>
      </c>
      <c r="I53" s="188">
        <f>I52-H53</f>
        <v>-47215.32999999999</v>
      </c>
      <c r="J53" s="150"/>
      <c r="K53" s="148"/>
      <c r="L53" s="91"/>
      <c r="M53" s="91"/>
    </row>
    <row r="54" spans="1:57" s="104" customFormat="1" ht="19.5" customHeight="1">
      <c r="A54" s="99">
        <v>33</v>
      </c>
      <c r="B54" s="129">
        <v>44420</v>
      </c>
      <c r="C54" s="117">
        <v>97728.55</v>
      </c>
      <c r="D54" s="130"/>
      <c r="E54" s="128"/>
      <c r="F54" s="102"/>
      <c r="G54" s="131"/>
      <c r="H54" s="124"/>
      <c r="I54" s="190">
        <f>I53+C54</f>
        <v>50513.220000000016</v>
      </c>
      <c r="J54" s="103"/>
      <c r="K54" s="103"/>
      <c r="L54" s="103"/>
      <c r="M54" s="103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</row>
    <row r="55" spans="1:13" ht="24.75" customHeight="1">
      <c r="A55" s="99">
        <v>34</v>
      </c>
      <c r="B55" s="99"/>
      <c r="C55" s="116"/>
      <c r="D55" s="110">
        <v>44425</v>
      </c>
      <c r="E55" s="127" t="s">
        <v>208</v>
      </c>
      <c r="F55" s="100" t="s">
        <v>105</v>
      </c>
      <c r="G55" s="101" t="s">
        <v>107</v>
      </c>
      <c r="H55" s="115">
        <v>1500</v>
      </c>
      <c r="I55" s="188">
        <f>I54-H55</f>
        <v>49013.220000000016</v>
      </c>
      <c r="J55" s="91"/>
      <c r="K55" s="91"/>
      <c r="L55" s="91"/>
      <c r="M55" s="91"/>
    </row>
    <row r="56" spans="1:13" ht="24.75" customHeight="1">
      <c r="A56" s="99">
        <v>35</v>
      </c>
      <c r="B56" s="99"/>
      <c r="C56" s="116"/>
      <c r="D56" s="110">
        <v>44429</v>
      </c>
      <c r="E56" s="127" t="s">
        <v>215</v>
      </c>
      <c r="F56" s="100" t="s">
        <v>185</v>
      </c>
      <c r="G56" s="101" t="s">
        <v>217</v>
      </c>
      <c r="H56" s="115">
        <f>3448+ROUND(3448*27.1%,2)</f>
        <v>4382.41</v>
      </c>
      <c r="I56" s="188">
        <f aca="true" t="shared" si="1" ref="I56:I67">I55-H56</f>
        <v>44630.81000000001</v>
      </c>
      <c r="J56" s="150"/>
      <c r="K56" s="91"/>
      <c r="L56" s="91"/>
      <c r="M56" s="91"/>
    </row>
    <row r="57" spans="1:13" ht="24.75" customHeight="1">
      <c r="A57" s="99">
        <v>36</v>
      </c>
      <c r="B57" s="99"/>
      <c r="C57" s="116"/>
      <c r="D57" s="110">
        <v>44439</v>
      </c>
      <c r="E57" s="127" t="s">
        <v>198</v>
      </c>
      <c r="F57" s="100" t="s">
        <v>185</v>
      </c>
      <c r="G57" s="101" t="s">
        <v>184</v>
      </c>
      <c r="H57" s="115">
        <f>21654-3448+ROUND((21654-3448)*27.1%,2)</f>
        <v>23139.83</v>
      </c>
      <c r="I57" s="188">
        <f t="shared" si="1"/>
        <v>21490.98000000001</v>
      </c>
      <c r="J57" s="150"/>
      <c r="K57" s="91"/>
      <c r="L57" s="91"/>
      <c r="M57" s="91"/>
    </row>
    <row r="58" spans="1:13" ht="24.75" customHeight="1">
      <c r="A58" s="99">
        <v>37</v>
      </c>
      <c r="B58" s="99"/>
      <c r="C58" s="116"/>
      <c r="D58" s="110">
        <v>44441</v>
      </c>
      <c r="E58" s="127" t="s">
        <v>199</v>
      </c>
      <c r="F58" s="100" t="s">
        <v>63</v>
      </c>
      <c r="G58" s="101" t="s">
        <v>78</v>
      </c>
      <c r="H58" s="115">
        <v>3600</v>
      </c>
      <c r="I58" s="188">
        <f t="shared" si="1"/>
        <v>17890.98000000001</v>
      </c>
      <c r="J58" s="150"/>
      <c r="K58" s="91"/>
      <c r="L58" s="91"/>
      <c r="M58" s="91"/>
    </row>
    <row r="59" spans="1:13" ht="24.75" customHeight="1">
      <c r="A59" s="99">
        <v>38</v>
      </c>
      <c r="B59" s="99"/>
      <c r="C59" s="116"/>
      <c r="D59" s="110">
        <v>44469</v>
      </c>
      <c r="E59" s="127" t="s">
        <v>209</v>
      </c>
      <c r="F59" s="100" t="s">
        <v>105</v>
      </c>
      <c r="G59" s="101" t="s">
        <v>107</v>
      </c>
      <c r="H59" s="115">
        <v>2000</v>
      </c>
      <c r="I59" s="188">
        <f t="shared" si="1"/>
        <v>15890.98000000001</v>
      </c>
      <c r="J59" s="150"/>
      <c r="K59" s="91"/>
      <c r="L59" s="91"/>
      <c r="M59" s="91"/>
    </row>
    <row r="60" spans="1:13" ht="24.75" customHeight="1">
      <c r="A60" s="99">
        <v>39</v>
      </c>
      <c r="B60" s="99"/>
      <c r="C60" s="116"/>
      <c r="D60" s="110">
        <v>44469</v>
      </c>
      <c r="E60" s="127" t="s">
        <v>200</v>
      </c>
      <c r="F60" s="100" t="s">
        <v>185</v>
      </c>
      <c r="G60" s="101" t="s">
        <v>184</v>
      </c>
      <c r="H60" s="115">
        <f>26644+ROUND(26644*27.1%,2)+0.02</f>
        <v>33864.54</v>
      </c>
      <c r="I60" s="188">
        <f>I59-H60</f>
        <v>-17973.55999999999</v>
      </c>
      <c r="J60" s="150"/>
      <c r="K60" s="91"/>
      <c r="L60" s="91"/>
      <c r="M60" s="91"/>
    </row>
    <row r="61" spans="1:13" ht="38.25" customHeight="1">
      <c r="A61" s="99">
        <v>40</v>
      </c>
      <c r="B61" s="99"/>
      <c r="C61" s="116"/>
      <c r="D61" s="122">
        <v>44490</v>
      </c>
      <c r="E61" s="127" t="s">
        <v>201</v>
      </c>
      <c r="F61" s="100" t="s">
        <v>57</v>
      </c>
      <c r="G61" s="101" t="s">
        <v>173</v>
      </c>
      <c r="H61" s="188">
        <v>-17500</v>
      </c>
      <c r="I61" s="188">
        <f>I60-H61</f>
        <v>-473.5599999999904</v>
      </c>
      <c r="J61" s="150"/>
      <c r="K61" s="91"/>
      <c r="L61" s="91"/>
      <c r="M61" s="91"/>
    </row>
    <row r="62" spans="1:13" ht="24.75" customHeight="1">
      <c r="A62" s="99">
        <v>41</v>
      </c>
      <c r="B62" s="99"/>
      <c r="C62" s="116"/>
      <c r="D62" s="110">
        <v>44495</v>
      </c>
      <c r="E62" s="127" t="s">
        <v>202</v>
      </c>
      <c r="F62" s="100" t="s">
        <v>80</v>
      </c>
      <c r="G62" s="101" t="s">
        <v>219</v>
      </c>
      <c r="H62" s="115">
        <v>10800</v>
      </c>
      <c r="I62" s="188">
        <f t="shared" si="1"/>
        <v>-11273.55999999999</v>
      </c>
      <c r="J62" s="150"/>
      <c r="K62" s="91"/>
      <c r="L62" s="91"/>
      <c r="M62" s="91"/>
    </row>
    <row r="63" spans="1:13" ht="24.75" customHeight="1">
      <c r="A63" s="99">
        <v>42</v>
      </c>
      <c r="B63" s="99"/>
      <c r="C63" s="116"/>
      <c r="D63" s="110">
        <v>44500</v>
      </c>
      <c r="E63" s="127" t="s">
        <v>203</v>
      </c>
      <c r="F63" s="100" t="s">
        <v>185</v>
      </c>
      <c r="G63" s="101" t="s">
        <v>184</v>
      </c>
      <c r="H63" s="115">
        <f>38139+ROUND(38139*27.1%,2)+0.02</f>
        <v>48474.689999999995</v>
      </c>
      <c r="I63" s="188">
        <f t="shared" si="1"/>
        <v>-59748.249999999985</v>
      </c>
      <c r="J63" s="150"/>
      <c r="K63" s="91"/>
      <c r="L63" s="91"/>
      <c r="M63" s="91"/>
    </row>
    <row r="64" spans="1:13" ht="24.75" customHeight="1">
      <c r="A64" s="99">
        <v>43</v>
      </c>
      <c r="B64" s="99"/>
      <c r="C64" s="116"/>
      <c r="D64" s="110">
        <v>44530</v>
      </c>
      <c r="E64" s="127" t="s">
        <v>204</v>
      </c>
      <c r="F64" s="100" t="s">
        <v>185</v>
      </c>
      <c r="G64" s="101" t="s">
        <v>184</v>
      </c>
      <c r="H64" s="115">
        <f>38139+ROUND(38139*27.1%,2)+0.02</f>
        <v>48474.689999999995</v>
      </c>
      <c r="I64" s="188">
        <f t="shared" si="1"/>
        <v>-108222.93999999997</v>
      </c>
      <c r="J64" s="150"/>
      <c r="K64" s="91"/>
      <c r="L64" s="91"/>
      <c r="M64" s="91"/>
    </row>
    <row r="65" spans="1:13" ht="24.75" customHeight="1">
      <c r="A65" s="99">
        <v>44</v>
      </c>
      <c r="B65" s="99"/>
      <c r="C65" s="116"/>
      <c r="D65" s="110">
        <v>44530</v>
      </c>
      <c r="E65" s="127" t="s">
        <v>205</v>
      </c>
      <c r="F65" s="100" t="s">
        <v>82</v>
      </c>
      <c r="G65" s="101" t="s">
        <v>83</v>
      </c>
      <c r="H65" s="115">
        <v>12600</v>
      </c>
      <c r="I65" s="188">
        <f t="shared" si="1"/>
        <v>-120822.93999999997</v>
      </c>
      <c r="J65" s="150"/>
      <c r="K65" s="91"/>
      <c r="L65" s="91"/>
      <c r="M65" s="91"/>
    </row>
    <row r="66" spans="1:13" ht="24.75" customHeight="1">
      <c r="A66" s="99">
        <v>45</v>
      </c>
      <c r="B66" s="99"/>
      <c r="C66" s="116"/>
      <c r="D66" s="110">
        <v>44544</v>
      </c>
      <c r="E66" s="127" t="s">
        <v>206</v>
      </c>
      <c r="F66" s="100" t="s">
        <v>63</v>
      </c>
      <c r="G66" s="101" t="s">
        <v>86</v>
      </c>
      <c r="H66" s="115">
        <v>440</v>
      </c>
      <c r="I66" s="188">
        <f t="shared" si="1"/>
        <v>-121262.93999999997</v>
      </c>
      <c r="J66" s="150"/>
      <c r="K66" s="91"/>
      <c r="L66" s="91"/>
      <c r="M66" s="91"/>
    </row>
    <row r="67" spans="1:13" ht="24.75" customHeight="1">
      <c r="A67" s="99">
        <v>46</v>
      </c>
      <c r="B67" s="99"/>
      <c r="C67" s="116"/>
      <c r="D67" s="110">
        <v>44546</v>
      </c>
      <c r="E67" s="127" t="s">
        <v>207</v>
      </c>
      <c r="F67" s="100" t="s">
        <v>88</v>
      </c>
      <c r="G67" s="101" t="s">
        <v>218</v>
      </c>
      <c r="H67" s="115">
        <v>6200</v>
      </c>
      <c r="I67" s="188">
        <f t="shared" si="1"/>
        <v>-127462.93999999997</v>
      </c>
      <c r="J67" s="150"/>
      <c r="K67" s="148"/>
      <c r="L67" s="149"/>
      <c r="M67" s="91"/>
    </row>
    <row r="68" spans="1:57" s="104" customFormat="1" ht="19.5" customHeight="1">
      <c r="A68" s="99">
        <v>47</v>
      </c>
      <c r="B68" s="129">
        <v>44553</v>
      </c>
      <c r="C68" s="117">
        <v>220354.51</v>
      </c>
      <c r="D68" s="130"/>
      <c r="E68" s="128"/>
      <c r="F68" s="102"/>
      <c r="G68" s="131"/>
      <c r="H68" s="124"/>
      <c r="I68" s="190">
        <f>I67+C68</f>
        <v>92891.57000000004</v>
      </c>
      <c r="J68" s="103"/>
      <c r="K68" s="103"/>
      <c r="L68" s="103"/>
      <c r="M68" s="103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</row>
    <row r="69" spans="1:13" ht="24.75" customHeight="1">
      <c r="A69" s="99">
        <v>48</v>
      </c>
      <c r="B69" s="99"/>
      <c r="C69" s="116"/>
      <c r="D69" s="110">
        <v>44553</v>
      </c>
      <c r="E69" s="127" t="s">
        <v>210</v>
      </c>
      <c r="F69" s="100" t="s">
        <v>89</v>
      </c>
      <c r="G69" s="101" t="s">
        <v>90</v>
      </c>
      <c r="H69" s="115">
        <v>48000</v>
      </c>
      <c r="I69" s="188">
        <f aca="true" t="shared" si="2" ref="I69:I76">I68-H69</f>
        <v>44891.570000000036</v>
      </c>
      <c r="J69" s="91"/>
      <c r="K69" s="91"/>
      <c r="L69" s="91"/>
      <c r="M69" s="91"/>
    </row>
    <row r="70" spans="1:13" ht="24.75" customHeight="1">
      <c r="A70" s="99">
        <v>49</v>
      </c>
      <c r="B70" s="99"/>
      <c r="C70" s="116"/>
      <c r="D70" s="110">
        <v>44558</v>
      </c>
      <c r="E70" s="127" t="s">
        <v>220</v>
      </c>
      <c r="F70" s="100" t="s">
        <v>105</v>
      </c>
      <c r="G70" s="101" t="s">
        <v>221</v>
      </c>
      <c r="H70" s="115">
        <v>3447.9</v>
      </c>
      <c r="I70" s="188">
        <f t="shared" si="2"/>
        <v>41443.670000000035</v>
      </c>
      <c r="J70" s="91"/>
      <c r="K70" s="91"/>
      <c r="L70" s="91"/>
      <c r="M70" s="91"/>
    </row>
    <row r="71" spans="1:13" ht="24.75" customHeight="1">
      <c r="A71" s="99">
        <v>50</v>
      </c>
      <c r="B71" s="99"/>
      <c r="C71" s="116"/>
      <c r="D71" s="110">
        <v>44558</v>
      </c>
      <c r="E71" s="127" t="s">
        <v>222</v>
      </c>
      <c r="F71" s="100" t="s">
        <v>105</v>
      </c>
      <c r="G71" s="101" t="s">
        <v>223</v>
      </c>
      <c r="H71" s="115">
        <v>37790</v>
      </c>
      <c r="I71" s="188">
        <f t="shared" si="2"/>
        <v>3653.6700000000346</v>
      </c>
      <c r="J71" s="91"/>
      <c r="K71" s="91"/>
      <c r="L71" s="91"/>
      <c r="M71" s="91"/>
    </row>
    <row r="72" spans="1:13" ht="24.75" customHeight="1">
      <c r="A72" s="99">
        <v>51</v>
      </c>
      <c r="B72" s="99"/>
      <c r="C72" s="116"/>
      <c r="D72" s="110">
        <v>44559</v>
      </c>
      <c r="E72" s="127" t="s">
        <v>224</v>
      </c>
      <c r="F72" s="100" t="s">
        <v>105</v>
      </c>
      <c r="G72" s="101" t="s">
        <v>225</v>
      </c>
      <c r="H72" s="115">
        <v>17735</v>
      </c>
      <c r="I72" s="188">
        <f t="shared" si="2"/>
        <v>-14081.329999999965</v>
      </c>
      <c r="J72" s="150"/>
      <c r="K72" s="91"/>
      <c r="L72" s="91"/>
      <c r="M72" s="91"/>
    </row>
    <row r="73" spans="1:13" ht="24.75" customHeight="1">
      <c r="A73" s="99">
        <v>52</v>
      </c>
      <c r="B73" s="99"/>
      <c r="C73" s="116"/>
      <c r="D73" s="110">
        <v>44560</v>
      </c>
      <c r="E73" s="127" t="s">
        <v>226</v>
      </c>
      <c r="F73" s="100" t="s">
        <v>105</v>
      </c>
      <c r="G73" s="101" t="s">
        <v>227</v>
      </c>
      <c r="H73" s="115">
        <v>2109</v>
      </c>
      <c r="I73" s="188">
        <f t="shared" si="2"/>
        <v>-16190.329999999965</v>
      </c>
      <c r="J73" s="150"/>
      <c r="K73" s="91"/>
      <c r="L73" s="91"/>
      <c r="M73" s="91"/>
    </row>
    <row r="74" spans="1:13" ht="38.25" customHeight="1">
      <c r="A74" s="99">
        <v>53</v>
      </c>
      <c r="B74" s="99"/>
      <c r="C74" s="116"/>
      <c r="D74" s="122">
        <v>44560</v>
      </c>
      <c r="E74" s="127" t="s">
        <v>213</v>
      </c>
      <c r="F74" s="100" t="s">
        <v>71</v>
      </c>
      <c r="G74" s="101" t="s">
        <v>182</v>
      </c>
      <c r="H74" s="115">
        <v>1072.8</v>
      </c>
      <c r="I74" s="188">
        <f t="shared" si="2"/>
        <v>-17263.129999999965</v>
      </c>
      <c r="J74" s="150"/>
      <c r="K74" s="91"/>
      <c r="L74" s="91"/>
      <c r="M74" s="91"/>
    </row>
    <row r="75" spans="1:13" ht="24.75" customHeight="1">
      <c r="A75" s="99">
        <v>54</v>
      </c>
      <c r="B75" s="99"/>
      <c r="C75" s="116"/>
      <c r="D75" s="110">
        <v>44560</v>
      </c>
      <c r="E75" s="127" t="s">
        <v>214</v>
      </c>
      <c r="F75" s="100" t="s">
        <v>185</v>
      </c>
      <c r="G75" s="101" t="s">
        <v>184</v>
      </c>
      <c r="H75" s="115">
        <f>38139-575-6897+ROUND((38139-575-6897)*27.1%,2)+0.02</f>
        <v>38977.78</v>
      </c>
      <c r="I75" s="188">
        <f t="shared" si="2"/>
        <v>-56240.90999999996</v>
      </c>
      <c r="J75" s="150"/>
      <c r="K75" s="91"/>
      <c r="L75" s="91"/>
      <c r="M75" s="91"/>
    </row>
    <row r="76" spans="1:13" ht="24.75" customHeight="1">
      <c r="A76" s="99">
        <v>55</v>
      </c>
      <c r="B76" s="99"/>
      <c r="C76" s="116"/>
      <c r="D76" s="110">
        <v>44561</v>
      </c>
      <c r="E76" s="127" t="s">
        <v>214</v>
      </c>
      <c r="F76" s="100" t="s">
        <v>185</v>
      </c>
      <c r="G76" s="101" t="s">
        <v>184</v>
      </c>
      <c r="H76" s="115">
        <f>575+6897+ROUND((575+6897)*27.1%,2)</f>
        <v>9496.91</v>
      </c>
      <c r="I76" s="188">
        <f t="shared" si="2"/>
        <v>-65737.81999999996</v>
      </c>
      <c r="J76" s="150"/>
      <c r="K76" s="148"/>
      <c r="L76" s="91"/>
      <c r="M76" s="91"/>
    </row>
    <row r="77" spans="1:57" s="104" customFormat="1" ht="19.5" customHeight="1">
      <c r="A77" s="123"/>
      <c r="B77" s="164" t="s">
        <v>228</v>
      </c>
      <c r="C77" s="165"/>
      <c r="D77" s="166"/>
      <c r="E77" s="166"/>
      <c r="F77" s="166"/>
      <c r="G77" s="167"/>
      <c r="H77" s="124"/>
      <c r="I77" s="190"/>
      <c r="J77" s="103"/>
      <c r="K77" s="103"/>
      <c r="L77" s="103"/>
      <c r="M77" s="103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</row>
    <row r="78" spans="1:57" s="104" customFormat="1" ht="19.5" customHeight="1" thickBot="1">
      <c r="A78" s="139"/>
      <c r="B78" s="140"/>
      <c r="C78" s="141">
        <f>C21+C47+C48+C54+C68</f>
        <v>958531.6000000001</v>
      </c>
      <c r="D78" s="141"/>
      <c r="E78" s="142"/>
      <c r="F78" s="143"/>
      <c r="G78" s="144"/>
      <c r="H78" s="145">
        <f>SUM(H22:H76)</f>
        <v>1024269.4199999999</v>
      </c>
      <c r="I78" s="191">
        <f>I76</f>
        <v>-65737.81999999996</v>
      </c>
      <c r="J78" s="103"/>
      <c r="K78" s="148"/>
      <c r="L78" s="103"/>
      <c r="M78" s="103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</row>
    <row r="79" spans="1:57" s="109" customFormat="1" ht="21.75" customHeight="1" thickTop="1">
      <c r="A79" s="163" t="s">
        <v>148</v>
      </c>
      <c r="B79" s="163"/>
      <c r="C79" s="163"/>
      <c r="D79" s="163"/>
      <c r="E79" s="163"/>
      <c r="F79" s="163"/>
      <c r="G79" s="163"/>
      <c r="H79" s="163"/>
      <c r="I79" s="163"/>
      <c r="J79" s="96"/>
      <c r="K79" s="96"/>
      <c r="L79" s="96"/>
      <c r="M79" s="96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</row>
    <row r="80" spans="1:57" s="104" customFormat="1" ht="19.5" customHeight="1">
      <c r="A80" s="99">
        <v>1</v>
      </c>
      <c r="B80" s="129">
        <v>44189</v>
      </c>
      <c r="C80" s="117">
        <v>701800</v>
      </c>
      <c r="D80" s="130"/>
      <c r="E80" s="128"/>
      <c r="F80" s="102"/>
      <c r="G80" s="131"/>
      <c r="H80" s="124"/>
      <c r="I80" s="190"/>
      <c r="J80" s="103"/>
      <c r="K80" s="103"/>
      <c r="L80" s="103"/>
      <c r="M80" s="103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</row>
    <row r="81" spans="1:13" ht="36" customHeight="1">
      <c r="A81" s="99">
        <v>2</v>
      </c>
      <c r="B81" s="99"/>
      <c r="C81" s="116"/>
      <c r="D81" s="122">
        <v>44197</v>
      </c>
      <c r="E81" s="127" t="s">
        <v>150</v>
      </c>
      <c r="F81" s="100" t="s">
        <v>63</v>
      </c>
      <c r="G81" s="101" t="s">
        <v>151</v>
      </c>
      <c r="H81" s="115">
        <v>113157.55</v>
      </c>
      <c r="I81" s="188">
        <f>C80-H81</f>
        <v>588642.45</v>
      </c>
      <c r="J81" s="91"/>
      <c r="K81" s="91"/>
      <c r="L81" s="91"/>
      <c r="M81" s="91"/>
    </row>
    <row r="82" spans="1:13" ht="36" customHeight="1">
      <c r="A82" s="99">
        <v>3</v>
      </c>
      <c r="B82" s="99"/>
      <c r="C82" s="116"/>
      <c r="D82" s="110">
        <v>44197</v>
      </c>
      <c r="E82" s="127" t="s">
        <v>153</v>
      </c>
      <c r="F82" s="100" t="s">
        <v>58</v>
      </c>
      <c r="G82" s="101" t="s">
        <v>152</v>
      </c>
      <c r="H82" s="115">
        <v>5180.84</v>
      </c>
      <c r="I82" s="188">
        <f>I81-H82</f>
        <v>583461.61</v>
      </c>
      <c r="J82" s="91"/>
      <c r="K82" s="91"/>
      <c r="L82" s="91"/>
      <c r="M82" s="91"/>
    </row>
    <row r="83" spans="1:13" ht="24.75" customHeight="1">
      <c r="A83" s="99">
        <v>4</v>
      </c>
      <c r="B83" s="99"/>
      <c r="C83" s="116"/>
      <c r="D83" s="110">
        <v>44221</v>
      </c>
      <c r="E83" s="127" t="s">
        <v>149</v>
      </c>
      <c r="F83" s="100" t="s">
        <v>58</v>
      </c>
      <c r="G83" s="101" t="s">
        <v>59</v>
      </c>
      <c r="H83" s="115">
        <v>70000</v>
      </c>
      <c r="I83" s="188">
        <f>I82-H83</f>
        <v>513461.61</v>
      </c>
      <c r="J83" s="91"/>
      <c r="K83" s="91"/>
      <c r="L83" s="91"/>
      <c r="M83" s="91"/>
    </row>
    <row r="84" spans="1:13" ht="36" customHeight="1">
      <c r="A84" s="99">
        <v>5</v>
      </c>
      <c r="B84" s="99"/>
      <c r="C84" s="116"/>
      <c r="D84" s="122">
        <v>44376</v>
      </c>
      <c r="E84" s="127" t="s">
        <v>142</v>
      </c>
      <c r="F84" s="100" t="s">
        <v>63</v>
      </c>
      <c r="G84" s="101" t="s">
        <v>72</v>
      </c>
      <c r="H84" s="115">
        <v>427347.12</v>
      </c>
      <c r="I84" s="188">
        <f>I83-H84</f>
        <v>86114.48999999999</v>
      </c>
      <c r="J84" s="91"/>
      <c r="K84" s="91"/>
      <c r="L84" s="91"/>
      <c r="M84" s="91"/>
    </row>
    <row r="85" spans="1:57" s="104" customFormat="1" ht="19.5" customHeight="1">
      <c r="A85" s="99">
        <v>6</v>
      </c>
      <c r="B85" s="129">
        <v>44377</v>
      </c>
      <c r="C85" s="189">
        <v>-276900</v>
      </c>
      <c r="D85" s="130"/>
      <c r="E85" s="128"/>
      <c r="F85" s="102"/>
      <c r="G85" s="131"/>
      <c r="H85" s="124"/>
      <c r="I85" s="190"/>
      <c r="J85" s="103"/>
      <c r="K85" s="103"/>
      <c r="L85" s="103"/>
      <c r="M85" s="103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</row>
    <row r="86" spans="1:13" ht="36" customHeight="1">
      <c r="A86" s="99">
        <v>7</v>
      </c>
      <c r="B86" s="99"/>
      <c r="C86" s="116"/>
      <c r="D86" s="122">
        <v>44377</v>
      </c>
      <c r="E86" s="127" t="s">
        <v>142</v>
      </c>
      <c r="F86" s="100" t="s">
        <v>63</v>
      </c>
      <c r="G86" s="101" t="s">
        <v>72</v>
      </c>
      <c r="H86" s="188">
        <v>-239500</v>
      </c>
      <c r="I86" s="188">
        <f>C80+C85-H81-H82-H83-(H84+H86)</f>
        <v>48714.48999999999</v>
      </c>
      <c r="J86" s="91"/>
      <c r="K86" s="91"/>
      <c r="L86" s="91"/>
      <c r="M86" s="91"/>
    </row>
    <row r="87" spans="1:13" ht="36" customHeight="1">
      <c r="A87" s="99">
        <v>8</v>
      </c>
      <c r="B87" s="99"/>
      <c r="C87" s="116"/>
      <c r="D87" s="122">
        <v>44538</v>
      </c>
      <c r="E87" s="127" t="s">
        <v>154</v>
      </c>
      <c r="F87" s="100" t="s">
        <v>63</v>
      </c>
      <c r="G87" s="101" t="s">
        <v>72</v>
      </c>
      <c r="H87" s="115">
        <v>46992.36</v>
      </c>
      <c r="I87" s="188">
        <f>I86-H87</f>
        <v>1722.12999999999</v>
      </c>
      <c r="J87" s="91"/>
      <c r="K87" s="91"/>
      <c r="L87" s="91"/>
      <c r="M87" s="91"/>
    </row>
    <row r="88" spans="1:57" s="104" customFormat="1" ht="19.5" customHeight="1">
      <c r="A88" s="99">
        <v>9</v>
      </c>
      <c r="B88" s="129">
        <v>44553</v>
      </c>
      <c r="C88" s="117">
        <v>1322.13</v>
      </c>
      <c r="D88" s="130"/>
      <c r="E88" s="128"/>
      <c r="F88" s="102"/>
      <c r="G88" s="131"/>
      <c r="H88" s="124"/>
      <c r="I88" s="190">
        <f>I87+C88</f>
        <v>3044.25999999999</v>
      </c>
      <c r="J88" s="103"/>
      <c r="K88" s="103"/>
      <c r="L88" s="103"/>
      <c r="M88" s="103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</row>
    <row r="89" spans="1:57" s="104" customFormat="1" ht="19.5" customHeight="1">
      <c r="A89" s="123"/>
      <c r="B89" s="164" t="s">
        <v>146</v>
      </c>
      <c r="C89" s="165"/>
      <c r="D89" s="166"/>
      <c r="E89" s="166"/>
      <c r="F89" s="166"/>
      <c r="G89" s="167"/>
      <c r="H89" s="124"/>
      <c r="I89" s="190"/>
      <c r="J89" s="103"/>
      <c r="K89" s="103"/>
      <c r="L89" s="103"/>
      <c r="M89" s="103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</row>
    <row r="90" spans="1:57" s="104" customFormat="1" ht="19.5" customHeight="1" thickBot="1">
      <c r="A90" s="139"/>
      <c r="B90" s="140"/>
      <c r="C90" s="141">
        <f>C80+C85+C88</f>
        <v>426222.13</v>
      </c>
      <c r="D90" s="141"/>
      <c r="E90" s="142"/>
      <c r="F90" s="143"/>
      <c r="G90" s="144"/>
      <c r="H90" s="145">
        <f>SUM(H81:H87)</f>
        <v>423177.87</v>
      </c>
      <c r="I90" s="191">
        <f>I88</f>
        <v>3044.25999999999</v>
      </c>
      <c r="J90" s="103"/>
      <c r="K90" s="103"/>
      <c r="L90" s="103"/>
      <c r="M90" s="103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</row>
    <row r="91" spans="1:57" s="109" customFormat="1" ht="21.75" customHeight="1" thickTop="1">
      <c r="A91" s="168" t="s">
        <v>95</v>
      </c>
      <c r="B91" s="168"/>
      <c r="C91" s="168"/>
      <c r="D91" s="168"/>
      <c r="E91" s="168"/>
      <c r="F91" s="168"/>
      <c r="G91" s="168"/>
      <c r="H91" s="168"/>
      <c r="I91" s="168"/>
      <c r="J91" s="96"/>
      <c r="K91" s="96"/>
      <c r="L91" s="96"/>
      <c r="M91" s="96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</row>
    <row r="92" spans="1:57" s="104" customFormat="1" ht="19.5" customHeight="1">
      <c r="A92" s="99">
        <v>1</v>
      </c>
      <c r="B92" s="129">
        <v>44406</v>
      </c>
      <c r="C92" s="117">
        <v>845663</v>
      </c>
      <c r="D92" s="117"/>
      <c r="E92" s="112"/>
      <c r="F92" s="102"/>
      <c r="G92" s="131"/>
      <c r="H92" s="124"/>
      <c r="I92" s="190"/>
      <c r="J92" s="103"/>
      <c r="K92" s="103"/>
      <c r="L92" s="103"/>
      <c r="M92" s="103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</row>
    <row r="93" spans="1:57" s="104" customFormat="1" ht="19.5" customHeight="1">
      <c r="A93" s="99">
        <v>2</v>
      </c>
      <c r="B93" s="129">
        <v>44420</v>
      </c>
      <c r="C93" s="117">
        <v>176210</v>
      </c>
      <c r="D93" s="117"/>
      <c r="E93" s="112"/>
      <c r="F93" s="102"/>
      <c r="G93" s="131"/>
      <c r="H93" s="124"/>
      <c r="I93" s="190"/>
      <c r="J93" s="103"/>
      <c r="K93" s="103"/>
      <c r="L93" s="103"/>
      <c r="M93" s="103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</row>
    <row r="94" spans="1:57" s="109" customFormat="1" ht="25.5" customHeight="1">
      <c r="A94" s="125">
        <v>3</v>
      </c>
      <c r="B94" s="110"/>
      <c r="C94" s="115"/>
      <c r="D94" s="110">
        <v>44467</v>
      </c>
      <c r="E94" s="126" t="s">
        <v>113</v>
      </c>
      <c r="F94" s="107" t="s">
        <v>79</v>
      </c>
      <c r="G94" s="108" t="s">
        <v>96</v>
      </c>
      <c r="H94" s="115">
        <v>1016762</v>
      </c>
      <c r="I94" s="188">
        <f>C92+C93-H94</f>
        <v>5111</v>
      </c>
      <c r="J94" s="96"/>
      <c r="K94" s="96"/>
      <c r="L94" s="96"/>
      <c r="M94" s="96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</row>
    <row r="95" spans="1:13" ht="38.25" customHeight="1">
      <c r="A95" s="99">
        <v>4</v>
      </c>
      <c r="B95" s="122"/>
      <c r="C95" s="116"/>
      <c r="D95" s="110">
        <v>44526</v>
      </c>
      <c r="E95" s="127" t="s">
        <v>114</v>
      </c>
      <c r="F95" s="100" t="s">
        <v>81</v>
      </c>
      <c r="G95" s="101" t="s">
        <v>97</v>
      </c>
      <c r="H95" s="115">
        <v>272290</v>
      </c>
      <c r="I95" s="188">
        <f>I94-H95</f>
        <v>-267179</v>
      </c>
      <c r="J95" s="150"/>
      <c r="K95" s="148"/>
      <c r="L95" s="91"/>
      <c r="M95" s="91"/>
    </row>
    <row r="96" spans="1:13" ht="48.75" customHeight="1">
      <c r="A96" s="99">
        <v>5</v>
      </c>
      <c r="B96" s="122"/>
      <c r="C96" s="116"/>
      <c r="D96" s="110">
        <v>44547</v>
      </c>
      <c r="E96" s="127" t="s">
        <v>155</v>
      </c>
      <c r="F96" s="100" t="s">
        <v>79</v>
      </c>
      <c r="G96" s="108" t="s">
        <v>96</v>
      </c>
      <c r="H96" s="188">
        <f>730871.46-H94</f>
        <v>-285890.54000000004</v>
      </c>
      <c r="I96" s="188">
        <f>I95-H96</f>
        <v>18711.540000000037</v>
      </c>
      <c r="J96" s="91"/>
      <c r="K96" s="91"/>
      <c r="L96" s="91"/>
      <c r="M96" s="91"/>
    </row>
    <row r="97" spans="1:57" s="104" customFormat="1" ht="19.5" customHeight="1">
      <c r="A97" s="123"/>
      <c r="B97" s="164" t="s">
        <v>145</v>
      </c>
      <c r="C97" s="165"/>
      <c r="D97" s="166"/>
      <c r="E97" s="166"/>
      <c r="F97" s="166"/>
      <c r="G97" s="167"/>
      <c r="H97" s="124"/>
      <c r="I97" s="190"/>
      <c r="J97" s="103"/>
      <c r="K97" s="103"/>
      <c r="L97" s="103"/>
      <c r="M97" s="103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</row>
    <row r="98" spans="1:57" s="104" customFormat="1" ht="19.5" customHeight="1" thickBot="1">
      <c r="A98" s="139"/>
      <c r="B98" s="140"/>
      <c r="C98" s="141">
        <f>C92+C93</f>
        <v>1021873</v>
      </c>
      <c r="D98" s="141"/>
      <c r="E98" s="142"/>
      <c r="F98" s="143"/>
      <c r="G98" s="144"/>
      <c r="H98" s="145">
        <f>H94+H95+H96</f>
        <v>1003161.46</v>
      </c>
      <c r="I98" s="191">
        <f>I96</f>
        <v>18711.540000000037</v>
      </c>
      <c r="J98" s="103"/>
      <c r="K98" s="103"/>
      <c r="L98" s="103"/>
      <c r="M98" s="103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</row>
    <row r="99" spans="1:57" s="109" customFormat="1" ht="21.75" customHeight="1" thickTop="1">
      <c r="A99" s="163" t="s">
        <v>104</v>
      </c>
      <c r="B99" s="163"/>
      <c r="C99" s="163"/>
      <c r="D99" s="163"/>
      <c r="E99" s="163"/>
      <c r="F99" s="163"/>
      <c r="G99" s="163"/>
      <c r="H99" s="163"/>
      <c r="I99" s="163"/>
      <c r="J99" s="96"/>
      <c r="K99" s="96"/>
      <c r="L99" s="96"/>
      <c r="M99" s="96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</row>
    <row r="100" spans="1:57" s="109" customFormat="1" ht="25.5" customHeight="1">
      <c r="A100" s="125">
        <v>1</v>
      </c>
      <c r="B100" s="110"/>
      <c r="C100" s="115"/>
      <c r="D100" s="110">
        <v>44270</v>
      </c>
      <c r="E100" s="126" t="s">
        <v>115</v>
      </c>
      <c r="F100" s="107" t="s">
        <v>60</v>
      </c>
      <c r="G100" s="108" t="s">
        <v>69</v>
      </c>
      <c r="H100" s="115">
        <v>5214.44</v>
      </c>
      <c r="I100" s="193">
        <f>C100-H100</f>
        <v>-5214.44</v>
      </c>
      <c r="J100" s="150"/>
      <c r="K100" s="96"/>
      <c r="L100" s="96"/>
      <c r="M100" s="96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</row>
    <row r="101" spans="1:13" ht="19.5" customHeight="1">
      <c r="A101" s="99">
        <v>2</v>
      </c>
      <c r="B101" s="122"/>
      <c r="C101" s="116"/>
      <c r="D101" s="110">
        <v>44348</v>
      </c>
      <c r="E101" s="127" t="s">
        <v>116</v>
      </c>
      <c r="F101" s="100" t="s">
        <v>63</v>
      </c>
      <c r="G101" s="101" t="s">
        <v>76</v>
      </c>
      <c r="H101" s="115">
        <v>10882.92</v>
      </c>
      <c r="I101" s="193">
        <f>I100-H101</f>
        <v>-16097.36</v>
      </c>
      <c r="J101" s="150"/>
      <c r="K101" s="148"/>
      <c r="L101" s="91"/>
      <c r="M101" s="91"/>
    </row>
    <row r="102" spans="1:57" s="104" customFormat="1" ht="19.5" customHeight="1">
      <c r="A102" s="99">
        <v>3</v>
      </c>
      <c r="B102" s="129">
        <v>44349</v>
      </c>
      <c r="C102" s="117">
        <v>15000</v>
      </c>
      <c r="D102" s="130"/>
      <c r="E102" s="128"/>
      <c r="F102" s="102"/>
      <c r="G102" s="131"/>
      <c r="H102" s="124"/>
      <c r="I102" s="190">
        <f>C102-H100-H101</f>
        <v>-1097.3599999999988</v>
      </c>
      <c r="J102" s="150"/>
      <c r="K102" s="103"/>
      <c r="L102" s="103"/>
      <c r="M102" s="103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</row>
    <row r="103" spans="1:13" ht="24.75" customHeight="1">
      <c r="A103" s="99">
        <v>4</v>
      </c>
      <c r="B103" s="99"/>
      <c r="C103" s="116"/>
      <c r="D103" s="110">
        <v>44349</v>
      </c>
      <c r="E103" s="127" t="s">
        <v>117</v>
      </c>
      <c r="F103" s="100" t="s">
        <v>123</v>
      </c>
      <c r="G103" s="101" t="s">
        <v>106</v>
      </c>
      <c r="H103" s="115">
        <v>5000</v>
      </c>
      <c r="I103" s="188">
        <f>I102-H103</f>
        <v>-6097.359999999999</v>
      </c>
      <c r="J103" s="150"/>
      <c r="K103" s="91"/>
      <c r="L103" s="91"/>
      <c r="M103" s="91"/>
    </row>
    <row r="104" spans="1:13" ht="24.75" customHeight="1">
      <c r="A104" s="99">
        <v>5</v>
      </c>
      <c r="B104" s="99"/>
      <c r="C104" s="116"/>
      <c r="D104" s="110">
        <v>44372</v>
      </c>
      <c r="E104" s="127" t="s">
        <v>118</v>
      </c>
      <c r="F104" s="100" t="s">
        <v>105</v>
      </c>
      <c r="G104" s="101" t="s">
        <v>107</v>
      </c>
      <c r="H104" s="115">
        <v>10000</v>
      </c>
      <c r="I104" s="188">
        <f>I103-H104</f>
        <v>-16097.359999999999</v>
      </c>
      <c r="J104" s="150"/>
      <c r="K104" s="148"/>
      <c r="L104" s="91"/>
      <c r="M104" s="91"/>
    </row>
    <row r="105" spans="1:57" s="104" customFormat="1" ht="19.5" customHeight="1">
      <c r="A105" s="99">
        <v>6</v>
      </c>
      <c r="B105" s="129">
        <v>44376</v>
      </c>
      <c r="C105" s="117">
        <f>5000+73436</f>
        <v>78436</v>
      </c>
      <c r="D105" s="130"/>
      <c r="E105" s="128"/>
      <c r="F105" s="102"/>
      <c r="G105" s="131"/>
      <c r="H105" s="124"/>
      <c r="I105" s="190">
        <f>C102+C105-H100-H101-H103-H104</f>
        <v>62338.64</v>
      </c>
      <c r="J105" s="150"/>
      <c r="K105" s="103"/>
      <c r="L105" s="103"/>
      <c r="M105" s="103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</row>
    <row r="106" spans="1:13" ht="38.25" customHeight="1">
      <c r="A106" s="99">
        <v>7</v>
      </c>
      <c r="B106" s="99"/>
      <c r="C106" s="116"/>
      <c r="D106" s="122">
        <v>44376</v>
      </c>
      <c r="E106" s="127" t="s">
        <v>121</v>
      </c>
      <c r="F106" s="100" t="s">
        <v>185</v>
      </c>
      <c r="G106" s="101" t="s">
        <v>124</v>
      </c>
      <c r="H106" s="115">
        <v>49564</v>
      </c>
      <c r="I106" s="188">
        <f>I105-H106</f>
        <v>12774.64</v>
      </c>
      <c r="J106" s="150"/>
      <c r="K106" s="91"/>
      <c r="L106" s="91"/>
      <c r="M106" s="91"/>
    </row>
    <row r="107" spans="1:13" ht="48.75" customHeight="1">
      <c r="A107" s="99">
        <v>8</v>
      </c>
      <c r="B107" s="99"/>
      <c r="C107" s="116"/>
      <c r="D107" s="122">
        <v>44376</v>
      </c>
      <c r="E107" s="127" t="s">
        <v>125</v>
      </c>
      <c r="F107" s="100" t="s">
        <v>185</v>
      </c>
      <c r="G107" s="101" t="s">
        <v>164</v>
      </c>
      <c r="H107" s="115">
        <f>47475+12865.75</f>
        <v>60340.75</v>
      </c>
      <c r="I107" s="188">
        <f>I106-H107</f>
        <v>-47566.11</v>
      </c>
      <c r="J107" s="150"/>
      <c r="K107" s="91"/>
      <c r="L107" s="91"/>
      <c r="M107" s="91"/>
    </row>
    <row r="108" spans="1:13" ht="24.75" customHeight="1">
      <c r="A108" s="99">
        <v>9</v>
      </c>
      <c r="B108" s="99"/>
      <c r="C108" s="116"/>
      <c r="D108" s="122">
        <v>44376</v>
      </c>
      <c r="E108" s="127" t="s">
        <v>120</v>
      </c>
      <c r="F108" s="100" t="s">
        <v>63</v>
      </c>
      <c r="G108" s="101" t="s">
        <v>64</v>
      </c>
      <c r="H108" s="115">
        <v>2000</v>
      </c>
      <c r="I108" s="188">
        <f>I107-H108</f>
        <v>-49566.11</v>
      </c>
      <c r="J108" s="150"/>
      <c r="K108" s="148"/>
      <c r="L108" s="91"/>
      <c r="M108" s="91"/>
    </row>
    <row r="109" spans="1:57" s="104" customFormat="1" ht="19.5" customHeight="1">
      <c r="A109" s="99">
        <v>10</v>
      </c>
      <c r="B109" s="129">
        <v>44420</v>
      </c>
      <c r="C109" s="117">
        <v>10882.92</v>
      </c>
      <c r="D109" s="130"/>
      <c r="E109" s="128"/>
      <c r="F109" s="102"/>
      <c r="G109" s="131"/>
      <c r="H109" s="124"/>
      <c r="I109" s="190">
        <f>I105+C109-H106-H107-H108</f>
        <v>-38683.19</v>
      </c>
      <c r="J109" s="150"/>
      <c r="K109" s="103"/>
      <c r="L109" s="103"/>
      <c r="M109" s="103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</row>
    <row r="110" spans="1:13" ht="25.5" customHeight="1">
      <c r="A110" s="99">
        <v>11</v>
      </c>
      <c r="B110" s="99"/>
      <c r="C110" s="116"/>
      <c r="D110" s="122">
        <v>44439</v>
      </c>
      <c r="E110" s="127" t="s">
        <v>126</v>
      </c>
      <c r="F110" s="169" t="s">
        <v>185</v>
      </c>
      <c r="G110" s="172" t="s">
        <v>164</v>
      </c>
      <c r="H110" s="115">
        <f>5180+1403.78</f>
        <v>6583.78</v>
      </c>
      <c r="I110" s="188">
        <f aca="true" t="shared" si="3" ref="I110:I119">I109-H110</f>
        <v>-45266.97</v>
      </c>
      <c r="J110" s="150"/>
      <c r="K110" s="91"/>
      <c r="L110" s="91"/>
      <c r="M110" s="91"/>
    </row>
    <row r="111" spans="1:13" ht="25.5" customHeight="1">
      <c r="A111" s="99">
        <v>12</v>
      </c>
      <c r="B111" s="99"/>
      <c r="C111" s="116"/>
      <c r="D111" s="122">
        <v>44469</v>
      </c>
      <c r="E111" s="127" t="s">
        <v>127</v>
      </c>
      <c r="F111" s="170"/>
      <c r="G111" s="173"/>
      <c r="H111" s="115">
        <f>9495+ROUND(9495*27.1%,2)</f>
        <v>12068.15</v>
      </c>
      <c r="I111" s="188">
        <f t="shared" si="3"/>
        <v>-57335.12</v>
      </c>
      <c r="J111" s="150"/>
      <c r="K111" s="91"/>
      <c r="L111" s="91"/>
      <c r="M111" s="91"/>
    </row>
    <row r="112" spans="1:13" ht="25.5" customHeight="1">
      <c r="A112" s="99">
        <v>13</v>
      </c>
      <c r="B112" s="99"/>
      <c r="C112" s="116"/>
      <c r="D112" s="122">
        <v>44500</v>
      </c>
      <c r="E112" s="127" t="s">
        <v>128</v>
      </c>
      <c r="F112" s="171"/>
      <c r="G112" s="174"/>
      <c r="H112" s="115">
        <f>9495+ROUND(9495*27.1%,2)</f>
        <v>12068.15</v>
      </c>
      <c r="I112" s="188">
        <f t="shared" si="3"/>
        <v>-69403.27</v>
      </c>
      <c r="J112" s="150"/>
      <c r="K112" s="91"/>
      <c r="L112" s="91"/>
      <c r="M112" s="91"/>
    </row>
    <row r="113" spans="1:13" ht="24.75" customHeight="1">
      <c r="A113" s="99">
        <v>14</v>
      </c>
      <c r="B113" s="99"/>
      <c r="C113" s="116"/>
      <c r="D113" s="110">
        <v>44517</v>
      </c>
      <c r="E113" s="127" t="s">
        <v>130</v>
      </c>
      <c r="F113" s="100" t="s">
        <v>105</v>
      </c>
      <c r="G113" s="101" t="s">
        <v>131</v>
      </c>
      <c r="H113" s="115">
        <v>3500</v>
      </c>
      <c r="I113" s="188">
        <f t="shared" si="3"/>
        <v>-72903.27</v>
      </c>
      <c r="J113" s="150"/>
      <c r="K113" s="91"/>
      <c r="L113" s="91"/>
      <c r="M113" s="91"/>
    </row>
    <row r="114" spans="1:13" ht="36.75" customHeight="1">
      <c r="A114" s="99">
        <v>15</v>
      </c>
      <c r="B114" s="99"/>
      <c r="C114" s="116"/>
      <c r="D114" s="122">
        <v>44530</v>
      </c>
      <c r="E114" s="127" t="s">
        <v>129</v>
      </c>
      <c r="F114" s="100" t="s">
        <v>185</v>
      </c>
      <c r="G114" s="101" t="s">
        <v>164</v>
      </c>
      <c r="H114" s="115">
        <f>9495+ROUND(9495*27.1%,2)</f>
        <v>12068.15</v>
      </c>
      <c r="I114" s="188">
        <f t="shared" si="3"/>
        <v>-84971.42</v>
      </c>
      <c r="J114" s="150"/>
      <c r="K114" s="91"/>
      <c r="L114" s="91"/>
      <c r="M114" s="91"/>
    </row>
    <row r="115" spans="1:13" ht="24.75" customHeight="1">
      <c r="A115" s="99">
        <v>16</v>
      </c>
      <c r="B115" s="99"/>
      <c r="C115" s="116"/>
      <c r="D115" s="110">
        <v>44540</v>
      </c>
      <c r="E115" s="127" t="s">
        <v>132</v>
      </c>
      <c r="F115" s="100" t="s">
        <v>84</v>
      </c>
      <c r="G115" s="101" t="s">
        <v>85</v>
      </c>
      <c r="H115" s="115">
        <v>500000</v>
      </c>
      <c r="I115" s="188">
        <f t="shared" si="3"/>
        <v>-584971.42</v>
      </c>
      <c r="J115" s="150"/>
      <c r="K115" s="91"/>
      <c r="L115" s="91"/>
      <c r="M115" s="91"/>
    </row>
    <row r="116" spans="1:13" ht="24.75" customHeight="1">
      <c r="A116" s="99">
        <v>17</v>
      </c>
      <c r="B116" s="99"/>
      <c r="C116" s="116"/>
      <c r="D116" s="110">
        <v>44543</v>
      </c>
      <c r="E116" s="127" t="s">
        <v>133</v>
      </c>
      <c r="F116" s="100" t="s">
        <v>84</v>
      </c>
      <c r="G116" s="101" t="s">
        <v>85</v>
      </c>
      <c r="H116" s="115">
        <v>500000</v>
      </c>
      <c r="I116" s="188">
        <f t="shared" si="3"/>
        <v>-1084971.42</v>
      </c>
      <c r="J116" s="150"/>
      <c r="K116" s="91"/>
      <c r="L116" s="91"/>
      <c r="M116" s="91"/>
    </row>
    <row r="117" spans="1:13" ht="24.75" customHeight="1">
      <c r="A117" s="99">
        <v>18</v>
      </c>
      <c r="B117" s="99"/>
      <c r="C117" s="116"/>
      <c r="D117" s="110">
        <v>44543</v>
      </c>
      <c r="E117" s="127" t="s">
        <v>135</v>
      </c>
      <c r="F117" s="100" t="s">
        <v>79</v>
      </c>
      <c r="G117" s="101" t="s">
        <v>138</v>
      </c>
      <c r="H117" s="115">
        <v>69345.96</v>
      </c>
      <c r="I117" s="188">
        <f t="shared" si="3"/>
        <v>-1154317.38</v>
      </c>
      <c r="J117" s="150"/>
      <c r="K117" s="91"/>
      <c r="L117" s="91"/>
      <c r="M117" s="91"/>
    </row>
    <row r="118" spans="1:13" ht="24.75" customHeight="1">
      <c r="A118" s="99">
        <v>19</v>
      </c>
      <c r="B118" s="99"/>
      <c r="C118" s="116"/>
      <c r="D118" s="110">
        <v>44544</v>
      </c>
      <c r="E118" s="127" t="s">
        <v>134</v>
      </c>
      <c r="F118" s="100" t="s">
        <v>63</v>
      </c>
      <c r="G118" s="101" t="s">
        <v>87</v>
      </c>
      <c r="H118" s="115">
        <v>570</v>
      </c>
      <c r="I118" s="188">
        <f t="shared" si="3"/>
        <v>-1154887.38</v>
      </c>
      <c r="J118" s="150"/>
      <c r="K118" s="91"/>
      <c r="L118" s="91"/>
      <c r="M118" s="91"/>
    </row>
    <row r="119" spans="1:13" ht="24.75" customHeight="1">
      <c r="A119" s="99">
        <v>20</v>
      </c>
      <c r="B119" s="99"/>
      <c r="C119" s="116"/>
      <c r="D119" s="110">
        <v>44545</v>
      </c>
      <c r="E119" s="127" t="s">
        <v>136</v>
      </c>
      <c r="F119" s="100" t="s">
        <v>79</v>
      </c>
      <c r="G119" s="101" t="s">
        <v>137</v>
      </c>
      <c r="H119" s="115">
        <v>99092</v>
      </c>
      <c r="I119" s="188">
        <f t="shared" si="3"/>
        <v>-1253979.38</v>
      </c>
      <c r="J119" s="150"/>
      <c r="K119" s="148"/>
      <c r="L119" s="91"/>
      <c r="M119" s="91"/>
    </row>
    <row r="120" spans="1:57" s="104" customFormat="1" ht="19.5" customHeight="1">
      <c r="A120" s="99">
        <v>21</v>
      </c>
      <c r="B120" s="129">
        <v>44553</v>
      </c>
      <c r="C120" s="117">
        <v>1173527.96</v>
      </c>
      <c r="D120" s="130"/>
      <c r="E120" s="128"/>
      <c r="F120" s="102"/>
      <c r="G120" s="131"/>
      <c r="H120" s="124"/>
      <c r="I120" s="190">
        <f>C120-H110-H111-H112-H113-H114-H115-H116-H117-H118-H119+I109</f>
        <v>-80451.4199999998</v>
      </c>
      <c r="J120" s="150"/>
      <c r="K120" s="103"/>
      <c r="L120" s="103"/>
      <c r="M120" s="103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</row>
    <row r="121" spans="1:13" ht="24.75" customHeight="1">
      <c r="A121" s="99">
        <v>14</v>
      </c>
      <c r="B121" s="99"/>
      <c r="C121" s="116"/>
      <c r="D121" s="110">
        <v>44558</v>
      </c>
      <c r="E121" s="127" t="s">
        <v>139</v>
      </c>
      <c r="F121" s="100" t="s">
        <v>185</v>
      </c>
      <c r="G121" s="101" t="s">
        <v>107</v>
      </c>
      <c r="H121" s="115">
        <v>3000</v>
      </c>
      <c r="I121" s="188">
        <f>I120-H121</f>
        <v>-83451.4199999998</v>
      </c>
      <c r="J121" s="150"/>
      <c r="K121" s="91"/>
      <c r="L121" s="91"/>
      <c r="M121" s="91"/>
    </row>
    <row r="122" spans="1:13" ht="24.75" customHeight="1">
      <c r="A122" s="99">
        <v>14</v>
      </c>
      <c r="B122" s="99"/>
      <c r="C122" s="116"/>
      <c r="D122" s="110">
        <v>44560</v>
      </c>
      <c r="E122" s="127" t="s">
        <v>140</v>
      </c>
      <c r="F122" s="100" t="s">
        <v>105</v>
      </c>
      <c r="G122" s="101" t="s">
        <v>107</v>
      </c>
      <c r="H122" s="115">
        <v>3850</v>
      </c>
      <c r="I122" s="188">
        <f>I121-H122</f>
        <v>-87301.4199999998</v>
      </c>
      <c r="J122" s="150"/>
      <c r="K122" s="91"/>
      <c r="L122" s="91"/>
      <c r="M122" s="91"/>
    </row>
    <row r="123" spans="1:13" ht="36.75" customHeight="1">
      <c r="A123" s="99">
        <v>15</v>
      </c>
      <c r="B123" s="99"/>
      <c r="C123" s="116"/>
      <c r="D123" s="122">
        <v>44560</v>
      </c>
      <c r="E123" s="127" t="s">
        <v>147</v>
      </c>
      <c r="F123" s="100" t="s">
        <v>185</v>
      </c>
      <c r="G123" s="101" t="s">
        <v>164</v>
      </c>
      <c r="H123" s="115">
        <f>9495+ROUND(9495*27.1%,2)</f>
        <v>12068.15</v>
      </c>
      <c r="I123" s="188">
        <f>I122-H123</f>
        <v>-99369.56999999979</v>
      </c>
      <c r="J123" s="150"/>
      <c r="K123" s="148"/>
      <c r="L123" s="91"/>
      <c r="M123" s="91"/>
    </row>
    <row r="124" spans="1:57" s="104" customFormat="1" ht="19.5" customHeight="1">
      <c r="A124" s="123"/>
      <c r="B124" s="164" t="s">
        <v>146</v>
      </c>
      <c r="C124" s="165"/>
      <c r="D124" s="166"/>
      <c r="E124" s="166"/>
      <c r="F124" s="166"/>
      <c r="G124" s="167"/>
      <c r="H124" s="124"/>
      <c r="I124" s="190"/>
      <c r="J124" s="103"/>
      <c r="K124" s="103"/>
      <c r="L124" s="103"/>
      <c r="M124" s="103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</row>
    <row r="125" spans="1:57" s="104" customFormat="1" ht="19.5" customHeight="1" thickBot="1">
      <c r="A125" s="139"/>
      <c r="B125" s="140"/>
      <c r="C125" s="141">
        <f>C102+C105+C109+C120</f>
        <v>1277846.88</v>
      </c>
      <c r="D125" s="141"/>
      <c r="E125" s="142"/>
      <c r="F125" s="143"/>
      <c r="G125" s="144"/>
      <c r="H125" s="145">
        <f>SUM(H100:H123)</f>
        <v>1377216.4499999997</v>
      </c>
      <c r="I125" s="191">
        <f>I123</f>
        <v>-99369.56999999979</v>
      </c>
      <c r="J125" s="103"/>
      <c r="K125" s="148"/>
      <c r="L125" s="103"/>
      <c r="M125" s="103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</row>
    <row r="126" spans="1:57" s="109" customFormat="1" ht="21.75" customHeight="1" thickTop="1">
      <c r="A126" s="163" t="s">
        <v>141</v>
      </c>
      <c r="B126" s="163"/>
      <c r="C126" s="163"/>
      <c r="D126" s="163"/>
      <c r="E126" s="163"/>
      <c r="F126" s="163"/>
      <c r="G126" s="163"/>
      <c r="H126" s="163"/>
      <c r="I126" s="163"/>
      <c r="J126" s="96"/>
      <c r="K126" s="96"/>
      <c r="L126" s="96"/>
      <c r="M126" s="96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</row>
    <row r="127" spans="1:57" s="104" customFormat="1" ht="19.5" customHeight="1">
      <c r="A127" s="99">
        <v>1</v>
      </c>
      <c r="B127" s="129">
        <v>44376</v>
      </c>
      <c r="C127" s="117">
        <v>276900</v>
      </c>
      <c r="D127" s="130"/>
      <c r="E127" s="128"/>
      <c r="F127" s="102"/>
      <c r="G127" s="131"/>
      <c r="H127" s="124"/>
      <c r="I127" s="190"/>
      <c r="J127" s="103"/>
      <c r="K127" s="103"/>
      <c r="L127" s="103"/>
      <c r="M127" s="103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</row>
    <row r="128" spans="1:13" ht="36" customHeight="1">
      <c r="A128" s="99">
        <v>2</v>
      </c>
      <c r="B128" s="99"/>
      <c r="C128" s="116"/>
      <c r="D128" s="122">
        <v>44376</v>
      </c>
      <c r="E128" s="127" t="s">
        <v>142</v>
      </c>
      <c r="F128" s="100" t="s">
        <v>63</v>
      </c>
      <c r="G128" s="101" t="s">
        <v>72</v>
      </c>
      <c r="H128" s="115">
        <v>239500</v>
      </c>
      <c r="I128" s="188">
        <f>C127-H128</f>
        <v>37400</v>
      </c>
      <c r="J128" s="91"/>
      <c r="K128" s="91"/>
      <c r="L128" s="91"/>
      <c r="M128" s="91"/>
    </row>
    <row r="129" spans="1:13" ht="36" customHeight="1">
      <c r="A129" s="99">
        <v>3</v>
      </c>
      <c r="B129" s="99"/>
      <c r="C129" s="116"/>
      <c r="D129" s="122">
        <v>44538</v>
      </c>
      <c r="E129" s="127" t="s">
        <v>154</v>
      </c>
      <c r="F129" s="100" t="s">
        <v>63</v>
      </c>
      <c r="G129" s="101" t="s">
        <v>72</v>
      </c>
      <c r="H129" s="115">
        <v>261767.01</v>
      </c>
      <c r="I129" s="188">
        <f>I128-H129</f>
        <v>-224367.01</v>
      </c>
      <c r="J129" s="150"/>
      <c r="K129" s="148"/>
      <c r="L129" s="91"/>
      <c r="M129" s="91"/>
    </row>
    <row r="130" spans="1:57" s="104" customFormat="1" ht="19.5" customHeight="1">
      <c r="A130" s="99">
        <v>4</v>
      </c>
      <c r="B130" s="129">
        <v>44553</v>
      </c>
      <c r="C130" s="117">
        <v>257825.04</v>
      </c>
      <c r="D130" s="130"/>
      <c r="E130" s="128"/>
      <c r="F130" s="102"/>
      <c r="G130" s="131"/>
      <c r="H130" s="124"/>
      <c r="I130" s="190">
        <f>C127+C130-H128-H129</f>
        <v>33458.03000000003</v>
      </c>
      <c r="J130" s="103"/>
      <c r="K130" s="103"/>
      <c r="L130" s="103"/>
      <c r="M130" s="103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</row>
    <row r="131" spans="1:57" s="104" customFormat="1" ht="19.5" customHeight="1">
      <c r="A131" s="123"/>
      <c r="B131" s="164" t="s">
        <v>146</v>
      </c>
      <c r="C131" s="165"/>
      <c r="D131" s="166"/>
      <c r="E131" s="166"/>
      <c r="F131" s="166"/>
      <c r="G131" s="167"/>
      <c r="H131" s="124"/>
      <c r="I131" s="190"/>
      <c r="J131" s="103"/>
      <c r="K131" s="103"/>
      <c r="L131" s="103"/>
      <c r="M131" s="103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</row>
    <row r="132" spans="1:57" s="104" customFormat="1" ht="19.5" customHeight="1">
      <c r="A132" s="99"/>
      <c r="B132" s="129"/>
      <c r="C132" s="135">
        <f>C127+C130</f>
        <v>534725.04</v>
      </c>
      <c r="D132" s="135"/>
      <c r="E132" s="136"/>
      <c r="F132" s="137"/>
      <c r="G132" s="138"/>
      <c r="H132" s="147">
        <f>H128+H129</f>
        <v>501267.01</v>
      </c>
      <c r="I132" s="189">
        <f>I130</f>
        <v>33458.03000000003</v>
      </c>
      <c r="J132" s="103"/>
      <c r="K132" s="103"/>
      <c r="L132" s="103"/>
      <c r="M132" s="103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</row>
    <row r="136" ht="18.75" customHeight="1">
      <c r="K136" s="148"/>
    </row>
  </sheetData>
  <sheetProtection/>
  <mergeCells count="22">
    <mergeCell ref="A3:I3"/>
    <mergeCell ref="B11:G11"/>
    <mergeCell ref="A79:I79"/>
    <mergeCell ref="B77:G77"/>
    <mergeCell ref="A5:A6"/>
    <mergeCell ref="B5:C5"/>
    <mergeCell ref="I5:I6"/>
    <mergeCell ref="A20:I20"/>
    <mergeCell ref="G1:I1"/>
    <mergeCell ref="D5:H5"/>
    <mergeCell ref="A8:I8"/>
    <mergeCell ref="A13:I13"/>
    <mergeCell ref="A126:I126"/>
    <mergeCell ref="B131:G131"/>
    <mergeCell ref="B18:G18"/>
    <mergeCell ref="B97:G97"/>
    <mergeCell ref="B124:G124"/>
    <mergeCell ref="A99:I99"/>
    <mergeCell ref="A91:I91"/>
    <mergeCell ref="F110:F112"/>
    <mergeCell ref="G110:G112"/>
    <mergeCell ref="B89:G89"/>
  </mergeCells>
  <printOptions/>
  <pageMargins left="0.5118110236220472" right="0" top="0.3937007874015748" bottom="0.3937007874015748" header="0.31496062992125984" footer="0.31496062992125984"/>
  <pageSetup horizontalDpi="600" verticalDpi="600" orientation="portrait" paperSize="9" scale="70" r:id="rId1"/>
  <ignoredErrors>
    <ignoredError sqref="F9:I9 E13:I14 E17:G17 C12 A13:C17 A9:C10 F15:I16 H11:I12 E10:I10 H17:I19 C19 C90 H81:I90 C132:I132 C125:I125 C98:I98 H123 I128:I130 I117:I119 F95:F96 F94:I94 B91:C93 I100:I101 E91:I93 H96:I96 B95:C96 A22:I23 A97:I97 A95:A96 A94:E94 A91:A93 A102:H102 A100:H101 D95:E96 D91:D93 G95:G96 A111:I113 A104:H104 A122:I122 A117:H119 A131:I131 A128:H130 A124:I124 A123:E123 I123 A99:I99 A98:B98 A126:I127 A125:B125 A132:B132 A81:G89 A90:B90 D90:G90 A120:H120 A105:H105 B55:I55 B54:H54 A77:I80 A68:H68 B32:I34 C30:F30 H30 B36:I45 B35:F35 H35:I35 A116:I116 A115:F115 H115:I115 B48:H48 B46:E46 H46:I46 B31:I31 B69:I74 B51:I53 B50:H50 H95 B49:H49 B47:H47 B62:I67 B60:H60 B61:H61 B76:I76 B75:G75 I75 A103:F103 H103 A27:I28 A24:E24 G24:I24 A25:E26 G25:I26 B57:I59 B56:E56 G56:I56 A108:H109 A106:E107 G106:H107 A110:E110 G110:I110 A114:E114 G114:I114 A121:E121 G121:I121 G123" unlockedFormula="1"/>
    <ignoredError sqref="I120 I105:I109 I102 I103:I104 I54 I68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E106"/>
  <sheetViews>
    <sheetView zoomScalePageLayoutView="0" workbookViewId="0" topLeftCell="A79">
      <selection activeCell="F12" sqref="F12"/>
    </sheetView>
  </sheetViews>
  <sheetFormatPr defaultColWidth="12.57421875" defaultRowHeight="15"/>
  <cols>
    <col min="1" max="1" width="3.8515625" style="92" customWidth="1"/>
    <col min="2" max="2" width="9.7109375" style="92" customWidth="1"/>
    <col min="3" max="4" width="10.7109375" style="113" customWidth="1"/>
    <col min="5" max="5" width="21.421875" style="113" customWidth="1"/>
    <col min="6" max="6" width="23.57421875" style="89" customWidth="1"/>
    <col min="7" max="7" width="31.140625" style="89" customWidth="1"/>
    <col min="8" max="8" width="11.7109375" style="89" customWidth="1"/>
    <col min="9" max="9" width="13.140625" style="120" customWidth="1"/>
    <col min="10" max="57" width="12.140625" style="89" customWidth="1"/>
    <col min="58" max="16384" width="12.57421875" style="93" customWidth="1"/>
  </cols>
  <sheetData>
    <row r="1" spans="1:14" ht="27.75" customHeight="1">
      <c r="A1" s="55"/>
      <c r="B1" s="54"/>
      <c r="C1" s="54"/>
      <c r="D1" s="54"/>
      <c r="E1" s="54"/>
      <c r="F1" s="54"/>
      <c r="G1" s="54"/>
      <c r="H1" s="179" t="s">
        <v>232</v>
      </c>
      <c r="I1" s="179"/>
      <c r="J1" s="161"/>
      <c r="K1" s="161"/>
      <c r="L1" s="161"/>
      <c r="M1" s="84"/>
      <c r="N1" s="84"/>
    </row>
    <row r="2" spans="1:14" ht="15.75" customHeight="1">
      <c r="A2" s="55"/>
      <c r="B2" s="54"/>
      <c r="C2" s="54"/>
      <c r="D2" s="54"/>
      <c r="E2" s="54"/>
      <c r="F2" s="54"/>
      <c r="G2" s="54"/>
      <c r="H2" s="58"/>
      <c r="I2" s="58"/>
      <c r="J2" s="59"/>
      <c r="K2" s="59"/>
      <c r="L2" s="59"/>
      <c r="M2" s="84"/>
      <c r="N2" s="84"/>
    </row>
    <row r="3" spans="1:9" ht="45.75" customHeight="1">
      <c r="A3" s="181" t="s">
        <v>233</v>
      </c>
      <c r="B3" s="181"/>
      <c r="C3" s="181"/>
      <c r="D3" s="181"/>
      <c r="E3" s="181"/>
      <c r="F3" s="181"/>
      <c r="G3" s="181"/>
      <c r="H3" s="181"/>
      <c r="I3" s="181"/>
    </row>
    <row r="4" spans="3:57" s="94" customFormat="1" ht="15.75" customHeight="1">
      <c r="C4" s="114"/>
      <c r="D4" s="114"/>
      <c r="E4" s="114"/>
      <c r="F4" s="95"/>
      <c r="G4" s="95"/>
      <c r="H4" s="86"/>
      <c r="I4" s="121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</row>
    <row r="5" spans="1:57" s="104" customFormat="1" ht="33" customHeight="1">
      <c r="A5" s="175" t="s">
        <v>92</v>
      </c>
      <c r="B5" s="177" t="s">
        <v>1</v>
      </c>
      <c r="C5" s="178"/>
      <c r="D5" s="177" t="s">
        <v>93</v>
      </c>
      <c r="E5" s="180"/>
      <c r="F5" s="180"/>
      <c r="G5" s="180"/>
      <c r="H5" s="178"/>
      <c r="I5" s="175" t="s">
        <v>119</v>
      </c>
      <c r="J5" s="103"/>
      <c r="K5" s="103"/>
      <c r="L5" s="103"/>
      <c r="M5" s="103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</row>
    <row r="6" spans="1:57" s="104" customFormat="1" ht="52.5" customHeight="1">
      <c r="A6" s="176"/>
      <c r="B6" s="87" t="s">
        <v>54</v>
      </c>
      <c r="C6" s="118" t="s">
        <v>102</v>
      </c>
      <c r="D6" s="119" t="s">
        <v>108</v>
      </c>
      <c r="E6" s="119" t="s">
        <v>109</v>
      </c>
      <c r="F6" s="118" t="s">
        <v>122</v>
      </c>
      <c r="G6" s="118" t="s">
        <v>103</v>
      </c>
      <c r="H6" s="118" t="s">
        <v>102</v>
      </c>
      <c r="I6" s="176"/>
      <c r="J6" s="103"/>
      <c r="K6" s="103"/>
      <c r="L6" s="103"/>
      <c r="M6" s="103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</row>
    <row r="7" spans="1:57" s="98" customFormat="1" ht="9.75" customHeight="1">
      <c r="A7" s="105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5">
        <v>9</v>
      </c>
      <c r="J7" s="96"/>
      <c r="K7" s="96"/>
      <c r="L7" s="96"/>
      <c r="M7" s="96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</row>
    <row r="8" spans="1:57" s="109" customFormat="1" ht="21.75" customHeight="1">
      <c r="A8" s="163" t="s">
        <v>234</v>
      </c>
      <c r="B8" s="163"/>
      <c r="C8" s="163"/>
      <c r="D8" s="163"/>
      <c r="E8" s="163"/>
      <c r="F8" s="163"/>
      <c r="G8" s="163"/>
      <c r="H8" s="163"/>
      <c r="I8" s="163"/>
      <c r="J8" s="96"/>
      <c r="K8" s="96"/>
      <c r="L8" s="96"/>
      <c r="M8" s="96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</row>
    <row r="9" spans="1:57" s="104" customFormat="1" ht="19.5" customHeight="1">
      <c r="A9" s="106">
        <v>1</v>
      </c>
      <c r="B9" s="130">
        <v>44621</v>
      </c>
      <c r="C9" s="124">
        <v>57521.35</v>
      </c>
      <c r="D9" s="124"/>
      <c r="E9" s="132"/>
      <c r="F9" s="133"/>
      <c r="G9" s="134"/>
      <c r="H9" s="124"/>
      <c r="I9" s="117"/>
      <c r="J9" s="103"/>
      <c r="K9" s="103"/>
      <c r="L9" s="103"/>
      <c r="M9" s="103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</row>
    <row r="10" spans="1:57" s="109" customFormat="1" ht="36.75" customHeight="1">
      <c r="A10" s="125">
        <v>2</v>
      </c>
      <c r="B10" s="110"/>
      <c r="C10" s="115"/>
      <c r="D10" s="110">
        <v>44686</v>
      </c>
      <c r="E10" s="127" t="s">
        <v>239</v>
      </c>
      <c r="F10" s="100" t="s">
        <v>60</v>
      </c>
      <c r="G10" s="101" t="s">
        <v>238</v>
      </c>
      <c r="H10" s="115">
        <v>49920</v>
      </c>
      <c r="I10" s="115">
        <f>C9-H10</f>
        <v>7601.3499999999985</v>
      </c>
      <c r="J10" s="96"/>
      <c r="K10" s="96"/>
      <c r="L10" s="96"/>
      <c r="M10" s="96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</row>
    <row r="11" spans="1:57" s="109" customFormat="1" ht="25.5" customHeight="1">
      <c r="A11" s="125">
        <v>3</v>
      </c>
      <c r="B11" s="110"/>
      <c r="C11" s="115"/>
      <c r="D11" s="110">
        <v>44728</v>
      </c>
      <c r="E11" s="126" t="s">
        <v>240</v>
      </c>
      <c r="F11" s="100" t="s">
        <v>241</v>
      </c>
      <c r="G11" s="101" t="s">
        <v>62</v>
      </c>
      <c r="H11" s="115">
        <v>3171.4</v>
      </c>
      <c r="I11" s="115">
        <f>I10-H11</f>
        <v>4429.949999999999</v>
      </c>
      <c r="J11" s="96"/>
      <c r="K11" s="96"/>
      <c r="L11" s="96"/>
      <c r="M11" s="96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</row>
    <row r="12" spans="1:57" s="104" customFormat="1" ht="19.5" customHeight="1">
      <c r="A12" s="106">
        <v>4</v>
      </c>
      <c r="B12" s="130">
        <v>44741</v>
      </c>
      <c r="C12" s="124">
        <v>76678.14</v>
      </c>
      <c r="D12" s="124"/>
      <c r="E12" s="132"/>
      <c r="F12" s="133"/>
      <c r="G12" s="134"/>
      <c r="H12" s="124"/>
      <c r="I12" s="117">
        <f>C12+I11</f>
        <v>81108.09</v>
      </c>
      <c r="J12" s="103"/>
      <c r="K12" s="103"/>
      <c r="L12" s="103"/>
      <c r="M12" s="103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</row>
    <row r="13" spans="1:57" s="109" customFormat="1" ht="36.75" customHeight="1">
      <c r="A13" s="125">
        <v>5</v>
      </c>
      <c r="B13" s="110"/>
      <c r="C13" s="115"/>
      <c r="D13" s="110">
        <v>44825</v>
      </c>
      <c r="E13" s="127" t="s">
        <v>242</v>
      </c>
      <c r="F13" s="100" t="s">
        <v>63</v>
      </c>
      <c r="G13" s="101" t="s">
        <v>169</v>
      </c>
      <c r="H13" s="115">
        <v>1193.35</v>
      </c>
      <c r="I13" s="115">
        <f>I12-H13</f>
        <v>79914.73999999999</v>
      </c>
      <c r="J13" s="96"/>
      <c r="K13" s="96"/>
      <c r="L13" s="96"/>
      <c r="M13" s="96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</row>
    <row r="14" spans="1:57" s="104" customFormat="1" ht="19.5" customHeight="1">
      <c r="A14" s="106">
        <v>6</v>
      </c>
      <c r="B14" s="130">
        <v>44859</v>
      </c>
      <c r="C14" s="124">
        <v>626.65</v>
      </c>
      <c r="D14" s="124"/>
      <c r="E14" s="132"/>
      <c r="F14" s="133"/>
      <c r="G14" s="134"/>
      <c r="H14" s="124"/>
      <c r="I14" s="117">
        <f>C14+I13</f>
        <v>80541.38999999998</v>
      </c>
      <c r="J14" s="103"/>
      <c r="K14" s="103"/>
      <c r="L14" s="103"/>
      <c r="M14" s="103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</row>
    <row r="15" spans="1:13" ht="38.25" customHeight="1">
      <c r="A15" s="99">
        <v>7</v>
      </c>
      <c r="B15" s="99"/>
      <c r="C15" s="116"/>
      <c r="D15" s="122">
        <v>44860</v>
      </c>
      <c r="E15" s="127" t="s">
        <v>247</v>
      </c>
      <c r="F15" s="100" t="s">
        <v>245</v>
      </c>
      <c r="G15" s="101" t="s">
        <v>246</v>
      </c>
      <c r="H15" s="115">
        <v>38841.76</v>
      </c>
      <c r="I15" s="115">
        <f>I14-H15</f>
        <v>41699.62999999998</v>
      </c>
      <c r="J15" s="91"/>
      <c r="K15" s="91"/>
      <c r="L15" s="91"/>
      <c r="M15" s="91"/>
    </row>
    <row r="16" spans="1:57" s="109" customFormat="1" ht="36.75" customHeight="1">
      <c r="A16" s="125">
        <v>8</v>
      </c>
      <c r="B16" s="110"/>
      <c r="C16" s="115"/>
      <c r="D16" s="110">
        <v>44860</v>
      </c>
      <c r="E16" s="127" t="s">
        <v>243</v>
      </c>
      <c r="F16" s="100" t="s">
        <v>63</v>
      </c>
      <c r="G16" s="101" t="s">
        <v>169</v>
      </c>
      <c r="H16" s="115">
        <v>626.65</v>
      </c>
      <c r="I16" s="115">
        <f>I15-H16</f>
        <v>41072.97999999998</v>
      </c>
      <c r="J16" s="96"/>
      <c r="K16" s="96"/>
      <c r="L16" s="96"/>
      <c r="M16" s="96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</row>
    <row r="17" spans="1:57" s="109" customFormat="1" ht="36.75" customHeight="1">
      <c r="A17" s="125">
        <v>9</v>
      </c>
      <c r="B17" s="110"/>
      <c r="C17" s="115"/>
      <c r="D17" s="110">
        <v>44922</v>
      </c>
      <c r="E17" s="127" t="s">
        <v>244</v>
      </c>
      <c r="F17" s="100" t="s">
        <v>63</v>
      </c>
      <c r="G17" s="101" t="s">
        <v>169</v>
      </c>
      <c r="H17" s="115">
        <v>143.91</v>
      </c>
      <c r="I17" s="115">
        <f>I16-H17</f>
        <v>40929.06999999998</v>
      </c>
      <c r="J17" s="96"/>
      <c r="K17" s="96"/>
      <c r="L17" s="96"/>
      <c r="M17" s="96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</row>
    <row r="18" spans="1:57" s="104" customFormat="1" ht="19.5" customHeight="1">
      <c r="A18" s="123"/>
      <c r="B18" s="164" t="s">
        <v>298</v>
      </c>
      <c r="C18" s="165"/>
      <c r="D18" s="166"/>
      <c r="E18" s="166"/>
      <c r="F18" s="166"/>
      <c r="G18" s="167"/>
      <c r="H18" s="124"/>
      <c r="I18" s="124"/>
      <c r="J18" s="103"/>
      <c r="K18" s="103"/>
      <c r="L18" s="103"/>
      <c r="M18" s="103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</row>
    <row r="19" spans="1:57" s="104" customFormat="1" ht="19.5" customHeight="1" thickBot="1">
      <c r="A19" s="139"/>
      <c r="B19" s="140"/>
      <c r="C19" s="141">
        <f>C9+C12+C14</f>
        <v>134826.13999999998</v>
      </c>
      <c r="D19" s="141"/>
      <c r="E19" s="142"/>
      <c r="F19" s="143"/>
      <c r="G19" s="144"/>
      <c r="H19" s="145">
        <f>SUM(H10:H17)</f>
        <v>93897.07</v>
      </c>
      <c r="I19" s="146">
        <f>I17</f>
        <v>40929.06999999998</v>
      </c>
      <c r="J19" s="103"/>
      <c r="K19" s="103"/>
      <c r="L19" s="103"/>
      <c r="M19" s="103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</row>
    <row r="20" spans="1:57" s="109" customFormat="1" ht="21.75" customHeight="1" thickTop="1">
      <c r="A20" s="163" t="s">
        <v>236</v>
      </c>
      <c r="B20" s="163"/>
      <c r="C20" s="163"/>
      <c r="D20" s="163"/>
      <c r="E20" s="163"/>
      <c r="F20" s="163"/>
      <c r="G20" s="163"/>
      <c r="H20" s="163"/>
      <c r="I20" s="163"/>
      <c r="J20" s="96"/>
      <c r="K20" s="96"/>
      <c r="L20" s="96"/>
      <c r="M20" s="96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</row>
    <row r="21" spans="1:57" s="104" customFormat="1" ht="19.5" customHeight="1">
      <c r="A21" s="106">
        <v>1</v>
      </c>
      <c r="B21" s="130">
        <v>44621</v>
      </c>
      <c r="C21" s="124">
        <v>135557.42</v>
      </c>
      <c r="D21" s="124"/>
      <c r="E21" s="132"/>
      <c r="F21" s="133"/>
      <c r="G21" s="134"/>
      <c r="H21" s="124"/>
      <c r="I21" s="117"/>
      <c r="J21" s="103"/>
      <c r="K21" s="103"/>
      <c r="L21" s="103"/>
      <c r="M21" s="103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</row>
    <row r="22" spans="1:57" s="109" customFormat="1" ht="25.5" customHeight="1">
      <c r="A22" s="125">
        <v>2</v>
      </c>
      <c r="B22" s="110"/>
      <c r="C22" s="115"/>
      <c r="D22" s="110">
        <v>44623</v>
      </c>
      <c r="E22" s="126" t="s">
        <v>235</v>
      </c>
      <c r="F22" s="100" t="s">
        <v>58</v>
      </c>
      <c r="G22" s="101" t="s">
        <v>59</v>
      </c>
      <c r="H22" s="115">
        <v>30000</v>
      </c>
      <c r="I22" s="115">
        <f>C21-H22</f>
        <v>105557.42000000001</v>
      </c>
      <c r="J22" s="96"/>
      <c r="K22" s="96"/>
      <c r="L22" s="96"/>
      <c r="M22" s="96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</row>
    <row r="23" spans="1:57" s="109" customFormat="1" ht="25.5" customHeight="1">
      <c r="A23" s="125">
        <v>3</v>
      </c>
      <c r="B23" s="110"/>
      <c r="C23" s="115"/>
      <c r="D23" s="110">
        <v>44704</v>
      </c>
      <c r="E23" s="126" t="s">
        <v>237</v>
      </c>
      <c r="F23" s="100" t="s">
        <v>63</v>
      </c>
      <c r="G23" s="101" t="s">
        <v>72</v>
      </c>
      <c r="H23" s="115">
        <v>105257.42</v>
      </c>
      <c r="I23" s="115">
        <f>I22-H23</f>
        <v>300.00000000001455</v>
      </c>
      <c r="J23" s="96"/>
      <c r="K23" s="96"/>
      <c r="L23" s="96"/>
      <c r="M23" s="96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</row>
    <row r="24" spans="1:57" s="104" customFormat="1" ht="19.5" customHeight="1">
      <c r="A24" s="123"/>
      <c r="B24" s="164" t="s">
        <v>251</v>
      </c>
      <c r="C24" s="165"/>
      <c r="D24" s="166"/>
      <c r="E24" s="166"/>
      <c r="F24" s="166"/>
      <c r="G24" s="167"/>
      <c r="H24" s="124"/>
      <c r="I24" s="124"/>
      <c r="J24" s="103"/>
      <c r="K24" s="103"/>
      <c r="L24" s="103"/>
      <c r="M24" s="103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</row>
    <row r="25" spans="1:57" s="104" customFormat="1" ht="19.5" customHeight="1" thickBot="1">
      <c r="A25" s="139"/>
      <c r="B25" s="140"/>
      <c r="C25" s="141">
        <f>C21</f>
        <v>135557.42</v>
      </c>
      <c r="D25" s="141"/>
      <c r="E25" s="142"/>
      <c r="F25" s="143"/>
      <c r="G25" s="144"/>
      <c r="H25" s="145">
        <f>H22+H23</f>
        <v>135257.41999999998</v>
      </c>
      <c r="I25" s="146">
        <f>I23</f>
        <v>300.00000000001455</v>
      </c>
      <c r="J25" s="103"/>
      <c r="K25" s="103"/>
      <c r="L25" s="103"/>
      <c r="M25" s="103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</row>
    <row r="26" spans="1:57" s="109" customFormat="1" ht="21.75" customHeight="1" thickTop="1">
      <c r="A26" s="163" t="s">
        <v>248</v>
      </c>
      <c r="B26" s="163"/>
      <c r="C26" s="163"/>
      <c r="D26" s="163"/>
      <c r="E26" s="163"/>
      <c r="F26" s="163"/>
      <c r="G26" s="163"/>
      <c r="H26" s="163"/>
      <c r="I26" s="163"/>
      <c r="J26" s="96"/>
      <c r="K26" s="96"/>
      <c r="L26" s="96"/>
      <c r="M26" s="96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</row>
    <row r="27" spans="1:57" s="104" customFormat="1" ht="19.5" customHeight="1">
      <c r="A27" s="99">
        <v>1</v>
      </c>
      <c r="B27" s="129">
        <v>44697</v>
      </c>
      <c r="C27" s="117">
        <v>1253333</v>
      </c>
      <c r="D27" s="117"/>
      <c r="E27" s="112"/>
      <c r="F27" s="102"/>
      <c r="G27" s="131"/>
      <c r="H27" s="124"/>
      <c r="I27" s="124"/>
      <c r="J27" s="103"/>
      <c r="K27" s="103"/>
      <c r="L27" s="103"/>
      <c r="M27" s="103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</row>
    <row r="28" spans="1:57" s="109" customFormat="1" ht="39.75" customHeight="1">
      <c r="A28" s="125">
        <v>2</v>
      </c>
      <c r="B28" s="110"/>
      <c r="C28" s="115"/>
      <c r="D28" s="110">
        <v>44782</v>
      </c>
      <c r="E28" s="126" t="s">
        <v>264</v>
      </c>
      <c r="F28" s="100" t="s">
        <v>249</v>
      </c>
      <c r="G28" s="101" t="s">
        <v>250</v>
      </c>
      <c r="H28" s="115">
        <v>979132.96</v>
      </c>
      <c r="I28" s="115">
        <f>C27-H28</f>
        <v>274200.04000000004</v>
      </c>
      <c r="J28" s="96"/>
      <c r="K28" s="96"/>
      <c r="L28" s="96"/>
      <c r="M28" s="96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</row>
    <row r="29" spans="1:57" s="104" customFormat="1" ht="19.5" customHeight="1">
      <c r="A29" s="99">
        <v>3</v>
      </c>
      <c r="B29" s="129">
        <v>44924</v>
      </c>
      <c r="C29" s="117">
        <v>-274201</v>
      </c>
      <c r="D29" s="117"/>
      <c r="E29" s="112"/>
      <c r="F29" s="102"/>
      <c r="G29" s="131"/>
      <c r="H29" s="124"/>
      <c r="I29" s="124"/>
      <c r="J29" s="103"/>
      <c r="K29" s="103"/>
      <c r="L29" s="103"/>
      <c r="M29" s="103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</row>
    <row r="30" spans="1:57" s="104" customFormat="1" ht="19.5" customHeight="1">
      <c r="A30" s="123"/>
      <c r="B30" s="164" t="s">
        <v>252</v>
      </c>
      <c r="C30" s="165"/>
      <c r="D30" s="166"/>
      <c r="E30" s="166"/>
      <c r="F30" s="166"/>
      <c r="G30" s="167"/>
      <c r="H30" s="124"/>
      <c r="I30" s="124"/>
      <c r="J30" s="103"/>
      <c r="K30" s="103"/>
      <c r="L30" s="103"/>
      <c r="M30" s="103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</row>
    <row r="31" spans="1:57" s="104" customFormat="1" ht="19.5" customHeight="1" thickBot="1">
      <c r="A31" s="139"/>
      <c r="B31" s="140"/>
      <c r="C31" s="141">
        <f>C27+C29</f>
        <v>979132</v>
      </c>
      <c r="D31" s="141"/>
      <c r="E31" s="142"/>
      <c r="F31" s="143"/>
      <c r="G31" s="144"/>
      <c r="H31" s="145">
        <f>H28</f>
        <v>979132.96</v>
      </c>
      <c r="I31" s="146">
        <f>I28</f>
        <v>274200.04000000004</v>
      </c>
      <c r="J31" s="103"/>
      <c r="K31" s="103"/>
      <c r="L31" s="103"/>
      <c r="M31" s="103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</row>
    <row r="32" spans="1:57" s="109" customFormat="1" ht="21.75" customHeight="1" thickTop="1">
      <c r="A32" s="163" t="s">
        <v>229</v>
      </c>
      <c r="B32" s="163"/>
      <c r="C32" s="163"/>
      <c r="D32" s="163"/>
      <c r="E32" s="163"/>
      <c r="F32" s="163"/>
      <c r="G32" s="163"/>
      <c r="H32" s="163"/>
      <c r="I32" s="163"/>
      <c r="J32" s="96"/>
      <c r="K32" s="96"/>
      <c r="L32" s="96"/>
      <c r="M32" s="96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</row>
    <row r="33" spans="1:57" s="104" customFormat="1" ht="19.5" customHeight="1">
      <c r="A33" s="99">
        <v>1</v>
      </c>
      <c r="B33" s="129">
        <v>44924</v>
      </c>
      <c r="C33" s="117">
        <v>31620.82</v>
      </c>
      <c r="D33" s="130"/>
      <c r="E33" s="128"/>
      <c r="F33" s="102"/>
      <c r="G33" s="131"/>
      <c r="H33" s="124"/>
      <c r="I33" s="124"/>
      <c r="J33" s="103"/>
      <c r="K33" s="103"/>
      <c r="L33" s="103"/>
      <c r="M33" s="103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</row>
    <row r="34" spans="1:57" s="109" customFormat="1" ht="25.5" customHeight="1">
      <c r="A34" s="125">
        <v>2</v>
      </c>
      <c r="B34" s="110"/>
      <c r="C34" s="115"/>
      <c r="D34" s="110">
        <v>44573</v>
      </c>
      <c r="E34" s="126" t="s">
        <v>253</v>
      </c>
      <c r="F34" s="100"/>
      <c r="G34" s="101" t="s">
        <v>254</v>
      </c>
      <c r="H34" s="115">
        <v>207715</v>
      </c>
      <c r="I34" s="115">
        <f>C33-H34</f>
        <v>-176094.18</v>
      </c>
      <c r="J34" s="96"/>
      <c r="K34" s="96"/>
      <c r="L34" s="96"/>
      <c r="M34" s="96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</row>
    <row r="35" spans="1:57" s="104" customFormat="1" ht="19.5" customHeight="1">
      <c r="A35" s="99">
        <v>3</v>
      </c>
      <c r="B35" s="129">
        <v>44621</v>
      </c>
      <c r="C35" s="117">
        <v>207715</v>
      </c>
      <c r="D35" s="130"/>
      <c r="E35" s="128"/>
      <c r="F35" s="102"/>
      <c r="G35" s="131"/>
      <c r="H35" s="124"/>
      <c r="I35" s="124">
        <f>I34+C35</f>
        <v>31620.820000000007</v>
      </c>
      <c r="J35" s="103"/>
      <c r="K35" s="103"/>
      <c r="L35" s="103"/>
      <c r="M35" s="103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</row>
    <row r="36" spans="1:57" s="109" customFormat="1" ht="25.5" customHeight="1">
      <c r="A36" s="125">
        <v>4</v>
      </c>
      <c r="B36" s="110"/>
      <c r="C36" s="115"/>
      <c r="D36" s="110">
        <v>44651</v>
      </c>
      <c r="E36" s="126" t="s">
        <v>256</v>
      </c>
      <c r="F36" s="100" t="s">
        <v>258</v>
      </c>
      <c r="G36" s="101" t="s">
        <v>257</v>
      </c>
      <c r="H36" s="115">
        <v>31620.82</v>
      </c>
      <c r="I36" s="115">
        <f>I35-H36</f>
        <v>0</v>
      </c>
      <c r="J36" s="96"/>
      <c r="K36" s="96"/>
      <c r="L36" s="96"/>
      <c r="M36" s="9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</row>
    <row r="37" spans="1:57" s="104" customFormat="1" ht="19.5" customHeight="1">
      <c r="A37" s="99">
        <v>5</v>
      </c>
      <c r="B37" s="129">
        <v>44712</v>
      </c>
      <c r="C37" s="117">
        <v>286127.35</v>
      </c>
      <c r="D37" s="130"/>
      <c r="E37" s="128"/>
      <c r="F37" s="102"/>
      <c r="G37" s="131"/>
      <c r="H37" s="124"/>
      <c r="I37" s="124">
        <f>C37</f>
        <v>286127.35</v>
      </c>
      <c r="J37" s="103"/>
      <c r="K37" s="103"/>
      <c r="L37" s="103"/>
      <c r="M37" s="103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</row>
    <row r="38" spans="1:13" ht="63.75" customHeight="1">
      <c r="A38" s="125">
        <v>6</v>
      </c>
      <c r="B38" s="99"/>
      <c r="C38" s="116"/>
      <c r="D38" s="122">
        <v>44712</v>
      </c>
      <c r="E38" s="127" t="s">
        <v>283</v>
      </c>
      <c r="F38" s="100"/>
      <c r="G38" s="101" t="s">
        <v>284</v>
      </c>
      <c r="H38" s="115">
        <v>120701.97</v>
      </c>
      <c r="I38" s="115">
        <f>I37-H38</f>
        <v>165425.37999999998</v>
      </c>
      <c r="J38" s="91"/>
      <c r="K38" s="91"/>
      <c r="L38" s="91"/>
      <c r="M38" s="91"/>
    </row>
    <row r="39" spans="1:13" ht="49.5" customHeight="1">
      <c r="A39" s="99">
        <v>7</v>
      </c>
      <c r="B39" s="99"/>
      <c r="C39" s="116"/>
      <c r="D39" s="122">
        <v>44713</v>
      </c>
      <c r="E39" s="127" t="s">
        <v>283</v>
      </c>
      <c r="F39" s="100"/>
      <c r="G39" s="101" t="s">
        <v>285</v>
      </c>
      <c r="H39" s="115">
        <v>15404.04</v>
      </c>
      <c r="I39" s="115">
        <f>I38-H39</f>
        <v>150021.33999999997</v>
      </c>
      <c r="J39" s="91"/>
      <c r="K39" s="91"/>
      <c r="L39" s="91"/>
      <c r="M39" s="91"/>
    </row>
    <row r="40" spans="1:57" s="109" customFormat="1" ht="36.75" customHeight="1">
      <c r="A40" s="125">
        <v>8</v>
      </c>
      <c r="B40" s="110"/>
      <c r="C40" s="115"/>
      <c r="D40" s="110">
        <v>44714</v>
      </c>
      <c r="E40" s="127" t="s">
        <v>255</v>
      </c>
      <c r="F40" s="100" t="s">
        <v>60</v>
      </c>
      <c r="G40" s="101" t="s">
        <v>238</v>
      </c>
      <c r="H40" s="115">
        <v>18720</v>
      </c>
      <c r="I40" s="115">
        <f aca="true" t="shared" si="0" ref="I40:I49">I39-H40</f>
        <v>131301.33999999997</v>
      </c>
      <c r="J40" s="96"/>
      <c r="K40" s="96"/>
      <c r="L40" s="96"/>
      <c r="M40" s="9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</row>
    <row r="41" spans="1:57" s="109" customFormat="1" ht="25.5" customHeight="1">
      <c r="A41" s="99">
        <v>9</v>
      </c>
      <c r="B41" s="110"/>
      <c r="C41" s="115"/>
      <c r="D41" s="110">
        <v>44728</v>
      </c>
      <c r="E41" s="126" t="s">
        <v>240</v>
      </c>
      <c r="F41" s="100" t="s">
        <v>241</v>
      </c>
      <c r="G41" s="101" t="s">
        <v>62</v>
      </c>
      <c r="H41" s="115">
        <v>28284.02</v>
      </c>
      <c r="I41" s="115">
        <f t="shared" si="0"/>
        <v>103017.31999999996</v>
      </c>
      <c r="J41" s="96"/>
      <c r="K41" s="96"/>
      <c r="L41" s="96"/>
      <c r="M41" s="96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</row>
    <row r="42" spans="1:57" s="109" customFormat="1" ht="25.5" customHeight="1">
      <c r="A42" s="125">
        <v>10</v>
      </c>
      <c r="B42" s="110"/>
      <c r="C42" s="115"/>
      <c r="D42" s="110">
        <v>44739</v>
      </c>
      <c r="E42" s="126" t="s">
        <v>259</v>
      </c>
      <c r="F42" s="100" t="s">
        <v>260</v>
      </c>
      <c r="G42" s="101" t="s">
        <v>261</v>
      </c>
      <c r="H42" s="115">
        <v>6500</v>
      </c>
      <c r="I42" s="115">
        <f t="shared" si="0"/>
        <v>96517.31999999996</v>
      </c>
      <c r="J42" s="96"/>
      <c r="K42" s="96"/>
      <c r="L42" s="96"/>
      <c r="M42" s="9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</row>
    <row r="43" spans="1:13" ht="38.25" customHeight="1">
      <c r="A43" s="99">
        <v>11</v>
      </c>
      <c r="B43" s="99"/>
      <c r="C43" s="116"/>
      <c r="D43" s="122">
        <v>44785</v>
      </c>
      <c r="E43" s="127" t="s">
        <v>269</v>
      </c>
      <c r="F43" s="100" t="s">
        <v>216</v>
      </c>
      <c r="G43" s="101" t="s">
        <v>270</v>
      </c>
      <c r="H43" s="115">
        <v>7500</v>
      </c>
      <c r="I43" s="115">
        <f t="shared" si="0"/>
        <v>89017.31999999996</v>
      </c>
      <c r="J43" s="91"/>
      <c r="K43" s="91"/>
      <c r="L43" s="91"/>
      <c r="M43" s="91"/>
    </row>
    <row r="44" spans="1:13" ht="24.75" customHeight="1">
      <c r="A44" s="125">
        <v>12</v>
      </c>
      <c r="B44" s="99"/>
      <c r="C44" s="116"/>
      <c r="D44" s="110">
        <v>44790</v>
      </c>
      <c r="E44" s="88" t="s">
        <v>262</v>
      </c>
      <c r="F44" s="100" t="s">
        <v>66</v>
      </c>
      <c r="G44" s="101" t="s">
        <v>67</v>
      </c>
      <c r="H44" s="115">
        <v>11900</v>
      </c>
      <c r="I44" s="115">
        <f t="shared" si="0"/>
        <v>77117.31999999996</v>
      </c>
      <c r="J44" s="91"/>
      <c r="K44" s="91"/>
      <c r="L44" s="91"/>
      <c r="M44" s="91"/>
    </row>
    <row r="45" spans="1:13" ht="24.75" customHeight="1">
      <c r="A45" s="99">
        <v>13</v>
      </c>
      <c r="B45" s="99"/>
      <c r="C45" s="116"/>
      <c r="D45" s="110">
        <v>44790</v>
      </c>
      <c r="E45" s="88" t="s">
        <v>263</v>
      </c>
      <c r="F45" s="100" t="s">
        <v>55</v>
      </c>
      <c r="G45" s="101" t="s">
        <v>68</v>
      </c>
      <c r="H45" s="115">
        <v>3000</v>
      </c>
      <c r="I45" s="115">
        <f t="shared" si="0"/>
        <v>74117.31999999996</v>
      </c>
      <c r="J45" s="91"/>
      <c r="K45" s="91"/>
      <c r="L45" s="91"/>
      <c r="M45" s="91"/>
    </row>
    <row r="46" spans="1:13" ht="38.25" customHeight="1">
      <c r="A46" s="125">
        <v>14</v>
      </c>
      <c r="B46" s="99"/>
      <c r="C46" s="116"/>
      <c r="D46" s="122">
        <v>44798</v>
      </c>
      <c r="E46" s="127" t="s">
        <v>271</v>
      </c>
      <c r="F46" s="100" t="s">
        <v>272</v>
      </c>
      <c r="G46" s="101" t="s">
        <v>273</v>
      </c>
      <c r="H46" s="115">
        <v>7161.2</v>
      </c>
      <c r="I46" s="115">
        <f t="shared" si="0"/>
        <v>66956.11999999997</v>
      </c>
      <c r="J46" s="91"/>
      <c r="K46" s="91"/>
      <c r="L46" s="91"/>
      <c r="M46" s="91"/>
    </row>
    <row r="47" spans="1:13" ht="38.25" customHeight="1">
      <c r="A47" s="99">
        <v>15</v>
      </c>
      <c r="B47" s="99"/>
      <c r="C47" s="116"/>
      <c r="D47" s="122">
        <v>44798</v>
      </c>
      <c r="E47" s="127" t="s">
        <v>274</v>
      </c>
      <c r="F47" s="100" t="s">
        <v>275</v>
      </c>
      <c r="G47" s="101" t="s">
        <v>276</v>
      </c>
      <c r="H47" s="115">
        <v>31600</v>
      </c>
      <c r="I47" s="115">
        <f t="shared" si="0"/>
        <v>35356.119999999966</v>
      </c>
      <c r="J47" s="91"/>
      <c r="K47" s="91"/>
      <c r="L47" s="91"/>
      <c r="M47" s="91"/>
    </row>
    <row r="48" spans="1:13" ht="38.25" customHeight="1">
      <c r="A48" s="125">
        <v>16</v>
      </c>
      <c r="B48" s="99"/>
      <c r="C48" s="116"/>
      <c r="D48" s="122">
        <v>44798</v>
      </c>
      <c r="E48" s="127" t="s">
        <v>277</v>
      </c>
      <c r="F48" s="100" t="s">
        <v>278</v>
      </c>
      <c r="G48" s="101" t="s">
        <v>279</v>
      </c>
      <c r="H48" s="115">
        <v>21600</v>
      </c>
      <c r="I48" s="115">
        <f t="shared" si="0"/>
        <v>13756.119999999966</v>
      </c>
      <c r="J48" s="91"/>
      <c r="K48" s="91"/>
      <c r="L48" s="91"/>
      <c r="M48" s="91"/>
    </row>
    <row r="49" spans="1:13" ht="38.25" customHeight="1">
      <c r="A49" s="99">
        <v>17</v>
      </c>
      <c r="B49" s="99"/>
      <c r="C49" s="116"/>
      <c r="D49" s="122">
        <v>44798</v>
      </c>
      <c r="E49" s="127" t="s">
        <v>280</v>
      </c>
      <c r="F49" s="100" t="s">
        <v>281</v>
      </c>
      <c r="G49" s="101" t="s">
        <v>282</v>
      </c>
      <c r="H49" s="115">
        <v>11880</v>
      </c>
      <c r="I49" s="115">
        <f t="shared" si="0"/>
        <v>1876.1199999999662</v>
      </c>
      <c r="J49" s="91"/>
      <c r="K49" s="91"/>
      <c r="L49" s="91"/>
      <c r="M49" s="91"/>
    </row>
    <row r="50" spans="1:57" s="104" customFormat="1" ht="19.5" customHeight="1">
      <c r="A50" s="125">
        <v>18</v>
      </c>
      <c r="B50" s="129">
        <v>44813</v>
      </c>
      <c r="C50" s="117">
        <v>9360</v>
      </c>
      <c r="D50" s="130"/>
      <c r="E50" s="128"/>
      <c r="F50" s="102"/>
      <c r="G50" s="131"/>
      <c r="H50" s="124"/>
      <c r="I50" s="124">
        <f>I49+C50</f>
        <v>11236.119999999966</v>
      </c>
      <c r="J50" s="103"/>
      <c r="K50" s="103"/>
      <c r="L50" s="103"/>
      <c r="M50" s="103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</row>
    <row r="51" spans="1:57" s="109" customFormat="1" ht="36.75" customHeight="1">
      <c r="A51" s="99">
        <v>19</v>
      </c>
      <c r="B51" s="110"/>
      <c r="C51" s="115"/>
      <c r="D51" s="110">
        <v>44825</v>
      </c>
      <c r="E51" s="127" t="s">
        <v>242</v>
      </c>
      <c r="F51" s="100" t="s">
        <v>63</v>
      </c>
      <c r="G51" s="101" t="s">
        <v>169</v>
      </c>
      <c r="H51" s="115">
        <v>2394.82</v>
      </c>
      <c r="I51" s="115">
        <f>I50-H51</f>
        <v>8841.299999999967</v>
      </c>
      <c r="J51" s="96"/>
      <c r="K51" s="96"/>
      <c r="L51" s="96"/>
      <c r="M51" s="96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</row>
    <row r="52" spans="1:57" s="109" customFormat="1" ht="36.75" customHeight="1">
      <c r="A52" s="99">
        <v>21</v>
      </c>
      <c r="B52" s="110"/>
      <c r="C52" s="115"/>
      <c r="D52" s="110">
        <v>44830</v>
      </c>
      <c r="E52" s="127" t="s">
        <v>268</v>
      </c>
      <c r="F52" s="100" t="s">
        <v>60</v>
      </c>
      <c r="G52" s="101" t="s">
        <v>238</v>
      </c>
      <c r="H52" s="115">
        <v>-9360</v>
      </c>
      <c r="I52" s="115">
        <f>I51-H52</f>
        <v>18201.299999999967</v>
      </c>
      <c r="J52" s="96"/>
      <c r="K52" s="96"/>
      <c r="L52" s="96"/>
      <c r="M52" s="96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</row>
    <row r="53" spans="1:57" s="109" customFormat="1" ht="36.75" customHeight="1">
      <c r="A53" s="125">
        <v>20</v>
      </c>
      <c r="B53" s="110"/>
      <c r="C53" s="115"/>
      <c r="D53" s="110">
        <v>44830</v>
      </c>
      <c r="E53" s="88" t="s">
        <v>265</v>
      </c>
      <c r="F53" s="100" t="s">
        <v>266</v>
      </c>
      <c r="G53" s="101" t="s">
        <v>267</v>
      </c>
      <c r="H53" s="115">
        <v>15453</v>
      </c>
      <c r="I53" s="115">
        <f>I52-H53</f>
        <v>2748.2999999999665</v>
      </c>
      <c r="J53" s="96"/>
      <c r="K53" s="96"/>
      <c r="L53" s="96"/>
      <c r="M53" s="96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</row>
    <row r="54" spans="1:57" s="104" customFormat="1" ht="19.5" customHeight="1">
      <c r="A54" s="125">
        <v>21</v>
      </c>
      <c r="B54" s="129">
        <v>44859</v>
      </c>
      <c r="C54" s="117">
        <v>1915.18</v>
      </c>
      <c r="D54" s="130"/>
      <c r="E54" s="128"/>
      <c r="F54" s="102"/>
      <c r="G54" s="131"/>
      <c r="H54" s="124"/>
      <c r="I54" s="124">
        <f>I53+C54</f>
        <v>4663.479999999967</v>
      </c>
      <c r="J54" s="103"/>
      <c r="K54" s="103"/>
      <c r="L54" s="103"/>
      <c r="M54" s="103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</row>
    <row r="55" spans="1:57" s="109" customFormat="1" ht="36.75" customHeight="1">
      <c r="A55" s="125">
        <v>22</v>
      </c>
      <c r="B55" s="110"/>
      <c r="C55" s="115"/>
      <c r="D55" s="110">
        <v>44860</v>
      </c>
      <c r="E55" s="127" t="s">
        <v>243</v>
      </c>
      <c r="F55" s="100" t="s">
        <v>63</v>
      </c>
      <c r="G55" s="101" t="s">
        <v>169</v>
      </c>
      <c r="H55" s="115">
        <v>1915.18</v>
      </c>
      <c r="I55" s="115">
        <f>I54-H55</f>
        <v>2748.2999999999665</v>
      </c>
      <c r="J55" s="96"/>
      <c r="K55" s="96"/>
      <c r="L55" s="96"/>
      <c r="M55" s="96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</row>
    <row r="56" spans="1:57" s="104" customFormat="1" ht="19.5" customHeight="1">
      <c r="A56" s="125">
        <v>23</v>
      </c>
      <c r="B56" s="129">
        <v>44910</v>
      </c>
      <c r="C56" s="117">
        <v>170184.33</v>
      </c>
      <c r="D56" s="130"/>
      <c r="E56" s="128"/>
      <c r="F56" s="102"/>
      <c r="G56" s="131"/>
      <c r="H56" s="124"/>
      <c r="I56" s="124">
        <f>I55+C56</f>
        <v>172932.62999999995</v>
      </c>
      <c r="J56" s="103"/>
      <c r="K56" s="103"/>
      <c r="L56" s="103"/>
      <c r="M56" s="103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</row>
    <row r="57" spans="1:13" ht="38.25" customHeight="1">
      <c r="A57" s="125">
        <v>24</v>
      </c>
      <c r="B57" s="99"/>
      <c r="C57" s="116"/>
      <c r="D57" s="122">
        <v>44911</v>
      </c>
      <c r="E57" s="127" t="s">
        <v>286</v>
      </c>
      <c r="F57" s="100" t="s">
        <v>272</v>
      </c>
      <c r="G57" s="101" t="s">
        <v>273</v>
      </c>
      <c r="H57" s="115">
        <v>10244.26</v>
      </c>
      <c r="I57" s="115">
        <f aca="true" t="shared" si="1" ref="I57:I65">I56-H57</f>
        <v>162688.36999999994</v>
      </c>
      <c r="J57" s="91"/>
      <c r="K57" s="91"/>
      <c r="L57" s="91"/>
      <c r="M57" s="91"/>
    </row>
    <row r="58" spans="1:13" ht="38.25" customHeight="1">
      <c r="A58" s="125">
        <v>25</v>
      </c>
      <c r="B58" s="99"/>
      <c r="C58" s="116"/>
      <c r="D58" s="122">
        <v>44911</v>
      </c>
      <c r="E58" s="127" t="s">
        <v>287</v>
      </c>
      <c r="F58" s="100" t="s">
        <v>278</v>
      </c>
      <c r="G58" s="101" t="s">
        <v>279</v>
      </c>
      <c r="H58" s="115">
        <v>4575.6</v>
      </c>
      <c r="I58" s="115">
        <f t="shared" si="1"/>
        <v>158112.76999999993</v>
      </c>
      <c r="J58" s="91"/>
      <c r="K58" s="91"/>
      <c r="L58" s="91"/>
      <c r="M58" s="91"/>
    </row>
    <row r="59" spans="1:13" ht="38.25" customHeight="1">
      <c r="A59" s="125">
        <v>26</v>
      </c>
      <c r="B59" s="99"/>
      <c r="C59" s="116"/>
      <c r="D59" s="122">
        <v>44911</v>
      </c>
      <c r="E59" s="127" t="s">
        <v>288</v>
      </c>
      <c r="F59" s="100" t="s">
        <v>281</v>
      </c>
      <c r="G59" s="101" t="s">
        <v>282</v>
      </c>
      <c r="H59" s="115">
        <v>89681.76</v>
      </c>
      <c r="I59" s="115">
        <f t="shared" si="1"/>
        <v>68431.00999999994</v>
      </c>
      <c r="J59" s="91"/>
      <c r="K59" s="91"/>
      <c r="L59" s="91"/>
      <c r="M59" s="91"/>
    </row>
    <row r="60" spans="1:13" ht="38.25" customHeight="1">
      <c r="A60" s="125">
        <v>27</v>
      </c>
      <c r="B60" s="99"/>
      <c r="C60" s="116"/>
      <c r="D60" s="122">
        <v>44911</v>
      </c>
      <c r="E60" s="127" t="s">
        <v>289</v>
      </c>
      <c r="F60" s="100" t="s">
        <v>159</v>
      </c>
      <c r="G60" s="101" t="s">
        <v>290</v>
      </c>
      <c r="H60" s="115">
        <v>22064.56</v>
      </c>
      <c r="I60" s="115">
        <f t="shared" si="1"/>
        <v>46366.44999999994</v>
      </c>
      <c r="J60" s="91"/>
      <c r="K60" s="91"/>
      <c r="L60" s="91"/>
      <c r="M60" s="91"/>
    </row>
    <row r="61" spans="1:13" ht="38.25" customHeight="1">
      <c r="A61" s="125">
        <v>28</v>
      </c>
      <c r="B61" s="99"/>
      <c r="C61" s="116"/>
      <c r="D61" s="122">
        <v>44914</v>
      </c>
      <c r="E61" s="127" t="s">
        <v>291</v>
      </c>
      <c r="F61" s="100" t="s">
        <v>272</v>
      </c>
      <c r="G61" s="101" t="s">
        <v>273</v>
      </c>
      <c r="H61" s="115">
        <v>5122.13</v>
      </c>
      <c r="I61" s="115">
        <f t="shared" si="1"/>
        <v>41244.31999999994</v>
      </c>
      <c r="J61" s="91"/>
      <c r="K61" s="91"/>
      <c r="L61" s="91"/>
      <c r="M61" s="91"/>
    </row>
    <row r="62" spans="1:13" ht="38.25" customHeight="1">
      <c r="A62" s="125">
        <v>29</v>
      </c>
      <c r="B62" s="99"/>
      <c r="C62" s="116"/>
      <c r="D62" s="122">
        <v>44914</v>
      </c>
      <c r="E62" s="127" t="s">
        <v>292</v>
      </c>
      <c r="F62" s="100" t="s">
        <v>275</v>
      </c>
      <c r="G62" s="101" t="s">
        <v>276</v>
      </c>
      <c r="H62" s="115">
        <v>5948.28</v>
      </c>
      <c r="I62" s="115">
        <f t="shared" si="1"/>
        <v>35296.03999999994</v>
      </c>
      <c r="J62" s="91"/>
      <c r="K62" s="91"/>
      <c r="L62" s="91"/>
      <c r="M62" s="91"/>
    </row>
    <row r="63" spans="1:13" ht="38.25" customHeight="1">
      <c r="A63" s="125">
        <v>30</v>
      </c>
      <c r="B63" s="99"/>
      <c r="C63" s="116"/>
      <c r="D63" s="122">
        <v>44914</v>
      </c>
      <c r="E63" s="127" t="s">
        <v>293</v>
      </c>
      <c r="F63" s="100" t="s">
        <v>278</v>
      </c>
      <c r="G63" s="101" t="s">
        <v>279</v>
      </c>
      <c r="H63" s="115">
        <v>2287.8</v>
      </c>
      <c r="I63" s="115">
        <f t="shared" si="1"/>
        <v>33008.23999999994</v>
      </c>
      <c r="J63" s="91"/>
      <c r="K63" s="91"/>
      <c r="L63" s="91"/>
      <c r="M63" s="91"/>
    </row>
    <row r="64" spans="1:13" ht="38.25" customHeight="1">
      <c r="A64" s="125">
        <v>31</v>
      </c>
      <c r="B64" s="99"/>
      <c r="C64" s="116"/>
      <c r="D64" s="122">
        <v>44914</v>
      </c>
      <c r="E64" s="127" t="s">
        <v>294</v>
      </c>
      <c r="F64" s="100" t="s">
        <v>159</v>
      </c>
      <c r="G64" s="101" t="s">
        <v>290</v>
      </c>
      <c r="H64" s="115">
        <v>3152.08</v>
      </c>
      <c r="I64" s="115">
        <f t="shared" si="1"/>
        <v>29856.159999999938</v>
      </c>
      <c r="J64" s="91"/>
      <c r="K64" s="91"/>
      <c r="L64" s="91"/>
      <c r="M64" s="91"/>
    </row>
    <row r="65" spans="1:57" s="109" customFormat="1" ht="36.75" customHeight="1">
      <c r="A65" s="125">
        <v>32</v>
      </c>
      <c r="B65" s="110"/>
      <c r="C65" s="115"/>
      <c r="D65" s="110">
        <v>44918</v>
      </c>
      <c r="E65" s="127" t="s">
        <v>295</v>
      </c>
      <c r="F65" s="100" t="s">
        <v>216</v>
      </c>
      <c r="G65" s="101" t="s">
        <v>296</v>
      </c>
      <c r="H65" s="115">
        <v>9532.5</v>
      </c>
      <c r="I65" s="115">
        <f t="shared" si="1"/>
        <v>20323.659999999938</v>
      </c>
      <c r="J65" s="96"/>
      <c r="K65" s="96"/>
      <c r="L65" s="96"/>
      <c r="M65" s="96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</row>
    <row r="66" spans="1:57" s="104" customFormat="1" ht="19.5" customHeight="1">
      <c r="A66" s="125">
        <v>33</v>
      </c>
      <c r="B66" s="129">
        <v>44922</v>
      </c>
      <c r="C66" s="117">
        <v>550</v>
      </c>
      <c r="D66" s="130"/>
      <c r="E66" s="128"/>
      <c r="F66" s="102"/>
      <c r="G66" s="131"/>
      <c r="H66" s="124"/>
      <c r="I66" s="124">
        <f>I65+C66</f>
        <v>20873.659999999938</v>
      </c>
      <c r="J66" s="103"/>
      <c r="K66" s="103"/>
      <c r="L66" s="103"/>
      <c r="M66" s="103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</row>
    <row r="67" spans="1:57" s="109" customFormat="1" ht="36.75" customHeight="1">
      <c r="A67" s="125">
        <v>34</v>
      </c>
      <c r="B67" s="110"/>
      <c r="C67" s="115"/>
      <c r="D67" s="110">
        <v>44922</v>
      </c>
      <c r="E67" s="127" t="s">
        <v>244</v>
      </c>
      <c r="F67" s="100" t="s">
        <v>63</v>
      </c>
      <c r="G67" s="101" t="s">
        <v>169</v>
      </c>
      <c r="H67" s="115">
        <v>699.59</v>
      </c>
      <c r="I67" s="115">
        <f>I66-H67</f>
        <v>20174.069999999938</v>
      </c>
      <c r="J67" s="96"/>
      <c r="K67" s="96"/>
      <c r="L67" s="96"/>
      <c r="M67" s="96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</row>
    <row r="68" spans="1:57" s="104" customFormat="1" ht="19.5" customHeight="1">
      <c r="A68" s="123"/>
      <c r="B68" s="164" t="s">
        <v>297</v>
      </c>
      <c r="C68" s="165"/>
      <c r="D68" s="166"/>
      <c r="E68" s="166"/>
      <c r="F68" s="166"/>
      <c r="G68" s="167"/>
      <c r="H68" s="124"/>
      <c r="I68" s="124"/>
      <c r="J68" s="103"/>
      <c r="K68" s="103"/>
      <c r="L68" s="103"/>
      <c r="M68" s="103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</row>
    <row r="69" spans="1:57" s="104" customFormat="1" ht="19.5" customHeight="1" thickBot="1">
      <c r="A69" s="139"/>
      <c r="B69" s="140"/>
      <c r="C69" s="141">
        <f>C33+C35+C37+C50+C54+C56+C66</f>
        <v>707472.6799999999</v>
      </c>
      <c r="D69" s="141"/>
      <c r="E69" s="142"/>
      <c r="F69" s="143"/>
      <c r="G69" s="144"/>
      <c r="H69" s="145">
        <f>SUM(H33:H67)</f>
        <v>687298.6100000001</v>
      </c>
      <c r="I69" s="146">
        <f>I67</f>
        <v>20174.069999999938</v>
      </c>
      <c r="J69" s="103"/>
      <c r="K69" s="103"/>
      <c r="L69" s="103"/>
      <c r="M69" s="103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</row>
    <row r="70" spans="1:57" s="109" customFormat="1" ht="21.75" customHeight="1" thickTop="1">
      <c r="A70" s="163" t="s">
        <v>148</v>
      </c>
      <c r="B70" s="163"/>
      <c r="C70" s="163"/>
      <c r="D70" s="163"/>
      <c r="E70" s="163"/>
      <c r="F70" s="163"/>
      <c r="G70" s="163"/>
      <c r="H70" s="163"/>
      <c r="I70" s="163"/>
      <c r="J70" s="96"/>
      <c r="K70" s="96"/>
      <c r="L70" s="96"/>
      <c r="M70" s="96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</row>
    <row r="71" spans="1:57" s="104" customFormat="1" ht="19.5" customHeight="1">
      <c r="A71" s="106">
        <v>1</v>
      </c>
      <c r="B71" s="129">
        <v>44924</v>
      </c>
      <c r="C71" s="117">
        <v>262227.27</v>
      </c>
      <c r="D71" s="124"/>
      <c r="E71" s="132"/>
      <c r="F71" s="133"/>
      <c r="G71" s="134"/>
      <c r="H71" s="124"/>
      <c r="I71" s="117"/>
      <c r="J71" s="103"/>
      <c r="K71" s="103"/>
      <c r="L71" s="103"/>
      <c r="M71" s="103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</row>
    <row r="72" spans="1:57" s="104" customFormat="1" ht="19.5" customHeight="1">
      <c r="A72" s="106">
        <v>2</v>
      </c>
      <c r="B72" s="129">
        <v>44621</v>
      </c>
      <c r="C72" s="117">
        <v>300000</v>
      </c>
      <c r="D72" s="124"/>
      <c r="E72" s="132"/>
      <c r="F72" s="133"/>
      <c r="G72" s="134"/>
      <c r="H72" s="124"/>
      <c r="I72" s="117"/>
      <c r="J72" s="103"/>
      <c r="K72" s="103"/>
      <c r="L72" s="103"/>
      <c r="M72" s="103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</row>
    <row r="73" spans="1:57" s="109" customFormat="1" ht="25.5" customHeight="1">
      <c r="A73" s="125">
        <v>3</v>
      </c>
      <c r="B73" s="110"/>
      <c r="C73" s="115"/>
      <c r="D73" s="110">
        <v>44623</v>
      </c>
      <c r="E73" s="126" t="s">
        <v>235</v>
      </c>
      <c r="F73" s="100" t="s">
        <v>58</v>
      </c>
      <c r="G73" s="101" t="s">
        <v>59</v>
      </c>
      <c r="H73" s="115">
        <v>149000</v>
      </c>
      <c r="I73" s="115">
        <f>C71+C72-H73</f>
        <v>413227.27</v>
      </c>
      <c r="J73" s="96"/>
      <c r="K73" s="96"/>
      <c r="L73" s="96"/>
      <c r="M73" s="96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</row>
    <row r="74" spans="1:57" s="109" customFormat="1" ht="25.5" customHeight="1">
      <c r="A74" s="125">
        <v>4</v>
      </c>
      <c r="B74" s="110"/>
      <c r="C74" s="115"/>
      <c r="D74" s="110">
        <v>44704</v>
      </c>
      <c r="E74" s="126" t="s">
        <v>237</v>
      </c>
      <c r="F74" s="100" t="s">
        <v>63</v>
      </c>
      <c r="G74" s="101" t="s">
        <v>72</v>
      </c>
      <c r="H74" s="115">
        <v>411484.77</v>
      </c>
      <c r="I74" s="115">
        <f>I73-H74</f>
        <v>1742.5</v>
      </c>
      <c r="J74" s="96"/>
      <c r="K74" s="96"/>
      <c r="L74" s="96"/>
      <c r="M74" s="96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</row>
    <row r="75" spans="1:13" ht="37.5" customHeight="1">
      <c r="A75" s="125">
        <v>5</v>
      </c>
      <c r="B75" s="99"/>
      <c r="C75" s="116"/>
      <c r="D75" s="122">
        <v>44712</v>
      </c>
      <c r="E75" s="127" t="s">
        <v>283</v>
      </c>
      <c r="F75" s="100"/>
      <c r="G75" s="101" t="s">
        <v>299</v>
      </c>
      <c r="H75" s="115">
        <v>1558.99</v>
      </c>
      <c r="I75" s="115">
        <f>I74-H75</f>
        <v>183.51</v>
      </c>
      <c r="J75" s="91"/>
      <c r="K75" s="91"/>
      <c r="L75" s="91"/>
      <c r="M75" s="91"/>
    </row>
    <row r="76" spans="1:57" s="104" customFormat="1" ht="19.5" customHeight="1">
      <c r="A76" s="106">
        <v>6</v>
      </c>
      <c r="B76" s="129">
        <v>44859</v>
      </c>
      <c r="C76" s="117">
        <v>2790</v>
      </c>
      <c r="D76" s="124"/>
      <c r="E76" s="132"/>
      <c r="F76" s="133"/>
      <c r="G76" s="134"/>
      <c r="H76" s="124"/>
      <c r="I76" s="117">
        <f>I75+C76</f>
        <v>2973.51</v>
      </c>
      <c r="J76" s="103"/>
      <c r="K76" s="103"/>
      <c r="L76" s="103"/>
      <c r="M76" s="103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</row>
    <row r="77" spans="1:57" s="104" customFormat="1" ht="19.5" customHeight="1">
      <c r="A77" s="106">
        <v>7</v>
      </c>
      <c r="B77" s="129">
        <v>44922</v>
      </c>
      <c r="C77" s="117">
        <v>50000</v>
      </c>
      <c r="D77" s="124"/>
      <c r="E77" s="132"/>
      <c r="F77" s="133"/>
      <c r="G77" s="134"/>
      <c r="H77" s="124"/>
      <c r="I77" s="117">
        <f>I76+C77</f>
        <v>52973.51</v>
      </c>
      <c r="J77" s="103"/>
      <c r="K77" s="103"/>
      <c r="L77" s="103"/>
      <c r="M77" s="103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</row>
    <row r="78" spans="1:57" s="109" customFormat="1" ht="36.75" customHeight="1">
      <c r="A78" s="125">
        <v>8</v>
      </c>
      <c r="B78" s="110"/>
      <c r="C78" s="115"/>
      <c r="D78" s="110">
        <v>44924</v>
      </c>
      <c r="E78" s="127" t="s">
        <v>301</v>
      </c>
      <c r="F78" s="100" t="s">
        <v>63</v>
      </c>
      <c r="G78" s="101" t="s">
        <v>72</v>
      </c>
      <c r="H78" s="115">
        <v>35411.76</v>
      </c>
      <c r="I78" s="115">
        <f>I77-H78</f>
        <v>17561.75</v>
      </c>
      <c r="J78" s="96"/>
      <c r="K78" s="96"/>
      <c r="L78" s="96"/>
      <c r="M78" s="96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</row>
    <row r="79" spans="1:57" s="104" customFormat="1" ht="19.5" customHeight="1">
      <c r="A79" s="123"/>
      <c r="B79" s="164" t="s">
        <v>300</v>
      </c>
      <c r="C79" s="165"/>
      <c r="D79" s="166"/>
      <c r="E79" s="166"/>
      <c r="F79" s="166"/>
      <c r="G79" s="167"/>
      <c r="H79" s="124"/>
      <c r="I79" s="124"/>
      <c r="J79" s="103"/>
      <c r="K79" s="103"/>
      <c r="L79" s="103"/>
      <c r="M79" s="103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</row>
    <row r="80" spans="1:57" s="104" customFormat="1" ht="19.5" customHeight="1" thickBot="1">
      <c r="A80" s="139"/>
      <c r="B80" s="140"/>
      <c r="C80" s="141">
        <f>C71+C72+C76+C77</f>
        <v>615017.27</v>
      </c>
      <c r="D80" s="141"/>
      <c r="E80" s="142"/>
      <c r="F80" s="143"/>
      <c r="G80" s="144"/>
      <c r="H80" s="145">
        <f>SUM(H71:H79)</f>
        <v>597455.52</v>
      </c>
      <c r="I80" s="146">
        <f>I78</f>
        <v>17561.75</v>
      </c>
      <c r="J80" s="148"/>
      <c r="K80" s="103"/>
      <c r="L80" s="103"/>
      <c r="M80" s="103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</row>
    <row r="81" spans="1:57" s="109" customFormat="1" ht="21.75" customHeight="1" thickTop="1">
      <c r="A81" s="163" t="s">
        <v>104</v>
      </c>
      <c r="B81" s="163"/>
      <c r="C81" s="163"/>
      <c r="D81" s="163"/>
      <c r="E81" s="163"/>
      <c r="F81" s="163"/>
      <c r="G81" s="163"/>
      <c r="H81" s="163"/>
      <c r="I81" s="163"/>
      <c r="J81" s="96"/>
      <c r="K81" s="96"/>
      <c r="L81" s="96"/>
      <c r="M81" s="96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</row>
    <row r="82" spans="1:57" s="104" customFormat="1" ht="19.5" customHeight="1">
      <c r="A82" s="99">
        <v>1</v>
      </c>
      <c r="B82" s="129">
        <v>44924</v>
      </c>
      <c r="C82" s="117">
        <v>4563.2</v>
      </c>
      <c r="D82" s="130"/>
      <c r="E82" s="128"/>
      <c r="F82" s="102"/>
      <c r="G82" s="131"/>
      <c r="H82" s="124"/>
      <c r="I82" s="124"/>
      <c r="J82" s="103"/>
      <c r="K82" s="103"/>
      <c r="L82" s="103"/>
      <c r="M82" s="103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</row>
    <row r="83" spans="1:57" s="104" customFormat="1" ht="19.5" customHeight="1">
      <c r="A83" s="99">
        <v>2</v>
      </c>
      <c r="B83" s="129">
        <v>44712</v>
      </c>
      <c r="C83" s="117">
        <v>93278.24</v>
      </c>
      <c r="D83" s="130"/>
      <c r="E83" s="128"/>
      <c r="F83" s="102"/>
      <c r="G83" s="131"/>
      <c r="H83" s="124"/>
      <c r="I83" s="124"/>
      <c r="J83" s="103"/>
      <c r="K83" s="103"/>
      <c r="L83" s="103"/>
      <c r="M83" s="103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</row>
    <row r="84" spans="1:13" ht="63.75" customHeight="1">
      <c r="A84" s="125">
        <v>6</v>
      </c>
      <c r="B84" s="99"/>
      <c r="C84" s="116"/>
      <c r="D84" s="122">
        <v>44712</v>
      </c>
      <c r="E84" s="127" t="s">
        <v>283</v>
      </c>
      <c r="F84" s="100"/>
      <c r="G84" s="101" t="s">
        <v>303</v>
      </c>
      <c r="H84" s="115">
        <v>75128.31</v>
      </c>
      <c r="I84" s="115">
        <f>C82+C83-H84</f>
        <v>22713.130000000005</v>
      </c>
      <c r="J84" s="91"/>
      <c r="K84" s="91"/>
      <c r="L84" s="91"/>
      <c r="M84" s="91"/>
    </row>
    <row r="85" spans="1:13" ht="49.5" customHeight="1">
      <c r="A85" s="99">
        <v>7</v>
      </c>
      <c r="B85" s="99"/>
      <c r="C85" s="116"/>
      <c r="D85" s="122">
        <v>44713</v>
      </c>
      <c r="E85" s="127" t="s">
        <v>283</v>
      </c>
      <c r="F85" s="100"/>
      <c r="G85" s="101" t="s">
        <v>285</v>
      </c>
      <c r="H85" s="115">
        <v>14549.93</v>
      </c>
      <c r="I85" s="115">
        <f>I84-H85</f>
        <v>8163.200000000004</v>
      </c>
      <c r="J85" s="91"/>
      <c r="K85" s="91"/>
      <c r="L85" s="91"/>
      <c r="M85" s="91"/>
    </row>
    <row r="86" spans="1:57" s="104" customFormat="1" ht="19.5" customHeight="1">
      <c r="A86" s="99">
        <v>3</v>
      </c>
      <c r="B86" s="129">
        <v>44813</v>
      </c>
      <c r="C86" s="117">
        <v>9360</v>
      </c>
      <c r="D86" s="130"/>
      <c r="E86" s="128"/>
      <c r="F86" s="102"/>
      <c r="G86" s="131"/>
      <c r="H86" s="124"/>
      <c r="I86" s="124">
        <f>I85+C86</f>
        <v>17523.200000000004</v>
      </c>
      <c r="J86" s="103"/>
      <c r="K86" s="103"/>
      <c r="L86" s="103"/>
      <c r="M86" s="103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</row>
    <row r="87" spans="1:57" s="109" customFormat="1" ht="36.75" customHeight="1">
      <c r="A87" s="99">
        <v>19</v>
      </c>
      <c r="B87" s="110"/>
      <c r="C87" s="115"/>
      <c r="D87" s="110">
        <v>44825</v>
      </c>
      <c r="E87" s="127" t="s">
        <v>242</v>
      </c>
      <c r="F87" s="100" t="s">
        <v>63</v>
      </c>
      <c r="G87" s="101" t="s">
        <v>169</v>
      </c>
      <c r="H87" s="115">
        <v>4563.18</v>
      </c>
      <c r="I87" s="115">
        <f>I86-H87</f>
        <v>12960.020000000004</v>
      </c>
      <c r="J87" s="96"/>
      <c r="K87" s="96"/>
      <c r="L87" s="96"/>
      <c r="M87" s="96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</row>
    <row r="88" spans="1:57" s="109" customFormat="1" ht="36.75" customHeight="1">
      <c r="A88" s="99">
        <v>21</v>
      </c>
      <c r="B88" s="110"/>
      <c r="C88" s="115"/>
      <c r="D88" s="110">
        <v>44830</v>
      </c>
      <c r="E88" s="127" t="s">
        <v>268</v>
      </c>
      <c r="F88" s="100" t="s">
        <v>60</v>
      </c>
      <c r="G88" s="101" t="s">
        <v>238</v>
      </c>
      <c r="H88" s="115">
        <v>9360</v>
      </c>
      <c r="I88" s="115">
        <f>I87-H88</f>
        <v>3600.020000000004</v>
      </c>
      <c r="J88" s="96"/>
      <c r="K88" s="96"/>
      <c r="L88" s="96"/>
      <c r="M88" s="96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</row>
    <row r="89" spans="1:57" s="104" customFormat="1" ht="19.5" customHeight="1">
      <c r="A89" s="106">
        <v>7</v>
      </c>
      <c r="B89" s="129">
        <v>44859</v>
      </c>
      <c r="C89" s="117">
        <v>-2223.2</v>
      </c>
      <c r="D89" s="124"/>
      <c r="E89" s="132"/>
      <c r="F89" s="133"/>
      <c r="G89" s="134"/>
      <c r="H89" s="124"/>
      <c r="I89" s="117">
        <f>I88+C89</f>
        <v>1376.8200000000043</v>
      </c>
      <c r="J89" s="103"/>
      <c r="K89" s="103"/>
      <c r="L89" s="103"/>
      <c r="M89" s="103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</row>
    <row r="90" spans="1:57" s="109" customFormat="1" ht="36.75" customHeight="1">
      <c r="A90" s="125">
        <v>22</v>
      </c>
      <c r="B90" s="110"/>
      <c r="C90" s="115"/>
      <c r="D90" s="110">
        <v>44860</v>
      </c>
      <c r="E90" s="127" t="s">
        <v>243</v>
      </c>
      <c r="F90" s="100" t="s">
        <v>63</v>
      </c>
      <c r="G90" s="101" t="s">
        <v>169</v>
      </c>
      <c r="H90" s="115">
        <v>-2214.73</v>
      </c>
      <c r="I90" s="115">
        <f>I89-H90</f>
        <v>3591.5500000000043</v>
      </c>
      <c r="J90" s="96"/>
      <c r="K90" s="96"/>
      <c r="L90" s="96"/>
      <c r="M90" s="96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</row>
    <row r="91" spans="1:57" s="104" customFormat="1" ht="19.5" customHeight="1">
      <c r="A91" s="125">
        <v>23</v>
      </c>
      <c r="B91" s="129">
        <v>44910</v>
      </c>
      <c r="C91" s="117">
        <v>30000</v>
      </c>
      <c r="D91" s="130"/>
      <c r="E91" s="128"/>
      <c r="F91" s="102"/>
      <c r="G91" s="131"/>
      <c r="H91" s="124"/>
      <c r="I91" s="124">
        <f>I90+C91</f>
        <v>33591.55</v>
      </c>
      <c r="J91" s="103"/>
      <c r="K91" s="103"/>
      <c r="L91" s="103"/>
      <c r="M91" s="103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</row>
    <row r="92" spans="1:13" ht="19.5" customHeight="1">
      <c r="A92" s="106"/>
      <c r="B92" s="110"/>
      <c r="C92" s="115"/>
      <c r="D92" s="110">
        <v>44914</v>
      </c>
      <c r="E92" s="126" t="s">
        <v>304</v>
      </c>
      <c r="F92" s="107" t="s">
        <v>305</v>
      </c>
      <c r="G92" s="108" t="s">
        <v>306</v>
      </c>
      <c r="H92" s="115">
        <v>30000</v>
      </c>
      <c r="I92" s="115">
        <f>I91-H92</f>
        <v>3591.550000000003</v>
      </c>
      <c r="J92" s="91"/>
      <c r="K92" s="91"/>
      <c r="L92" s="91"/>
      <c r="M92" s="91"/>
    </row>
    <row r="93" spans="1:57" s="109" customFormat="1" ht="36.75" customHeight="1">
      <c r="A93" s="125">
        <v>34</v>
      </c>
      <c r="B93" s="110"/>
      <c r="C93" s="115"/>
      <c r="D93" s="110">
        <v>44922</v>
      </c>
      <c r="E93" s="127" t="s">
        <v>244</v>
      </c>
      <c r="F93" s="100" t="s">
        <v>63</v>
      </c>
      <c r="G93" s="101" t="s">
        <v>169</v>
      </c>
      <c r="H93" s="115">
        <v>-253.74</v>
      </c>
      <c r="I93" s="115">
        <f>I92-H93</f>
        <v>3845.2900000000027</v>
      </c>
      <c r="J93" s="96"/>
      <c r="K93" s="96"/>
      <c r="L93" s="96"/>
      <c r="M93" s="96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</row>
    <row r="94" spans="1:57" s="104" customFormat="1" ht="19.5" customHeight="1">
      <c r="A94" s="123"/>
      <c r="B94" s="164" t="s">
        <v>146</v>
      </c>
      <c r="C94" s="165"/>
      <c r="D94" s="166"/>
      <c r="E94" s="166"/>
      <c r="F94" s="166"/>
      <c r="G94" s="167"/>
      <c r="H94" s="124"/>
      <c r="I94" s="124"/>
      <c r="J94" s="103"/>
      <c r="K94" s="103"/>
      <c r="L94" s="103"/>
      <c r="M94" s="103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</row>
    <row r="95" spans="1:57" s="104" customFormat="1" ht="19.5" customHeight="1" thickBot="1">
      <c r="A95" s="139"/>
      <c r="B95" s="140"/>
      <c r="C95" s="141">
        <f>C82+C83+C86+C89+C91</f>
        <v>134978.24</v>
      </c>
      <c r="D95" s="141"/>
      <c r="E95" s="142"/>
      <c r="F95" s="143"/>
      <c r="G95" s="144"/>
      <c r="H95" s="145">
        <f>SUM(H82:H94)</f>
        <v>131132.95</v>
      </c>
      <c r="I95" s="146">
        <f>I93</f>
        <v>3845.2900000000027</v>
      </c>
      <c r="J95" s="148"/>
      <c r="K95" s="103"/>
      <c r="L95" s="103"/>
      <c r="M95" s="103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</row>
    <row r="96" spans="1:57" s="109" customFormat="1" ht="21.75" customHeight="1" thickTop="1">
      <c r="A96" s="163" t="s">
        <v>141</v>
      </c>
      <c r="B96" s="163"/>
      <c r="C96" s="163"/>
      <c r="D96" s="163"/>
      <c r="E96" s="163"/>
      <c r="F96" s="163"/>
      <c r="G96" s="163"/>
      <c r="H96" s="163"/>
      <c r="I96" s="163"/>
      <c r="J96" s="96"/>
      <c r="K96" s="96"/>
      <c r="L96" s="96"/>
      <c r="M96" s="96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</row>
    <row r="97" spans="1:57" s="104" customFormat="1" ht="19.5" customHeight="1">
      <c r="A97" s="106">
        <v>1</v>
      </c>
      <c r="B97" s="129">
        <v>44924</v>
      </c>
      <c r="C97" s="117">
        <v>110122.96</v>
      </c>
      <c r="D97" s="124"/>
      <c r="E97" s="132"/>
      <c r="F97" s="133"/>
      <c r="G97" s="134"/>
      <c r="H97" s="124"/>
      <c r="I97" s="117"/>
      <c r="J97" s="103"/>
      <c r="K97" s="103"/>
      <c r="L97" s="103"/>
      <c r="M97" s="103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</row>
    <row r="98" spans="1:57" s="104" customFormat="1" ht="19.5" customHeight="1">
      <c r="A98" s="106">
        <v>2</v>
      </c>
      <c r="B98" s="129">
        <v>44621</v>
      </c>
      <c r="C98" s="117">
        <v>462948.86</v>
      </c>
      <c r="D98" s="124"/>
      <c r="E98" s="132"/>
      <c r="F98" s="133"/>
      <c r="G98" s="134"/>
      <c r="H98" s="124"/>
      <c r="I98" s="117"/>
      <c r="J98" s="103"/>
      <c r="K98" s="103"/>
      <c r="L98" s="103"/>
      <c r="M98" s="103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</row>
    <row r="99" spans="1:57" s="109" customFormat="1" ht="25.5" customHeight="1">
      <c r="A99" s="125">
        <v>3</v>
      </c>
      <c r="B99" s="110"/>
      <c r="C99" s="115"/>
      <c r="D99" s="110">
        <v>44623</v>
      </c>
      <c r="E99" s="126" t="s">
        <v>235</v>
      </c>
      <c r="F99" s="100" t="s">
        <v>58</v>
      </c>
      <c r="G99" s="101" t="s">
        <v>59</v>
      </c>
      <c r="H99" s="115">
        <v>45000</v>
      </c>
      <c r="I99" s="115">
        <f>C97+C98-H99</f>
        <v>528071.82</v>
      </c>
      <c r="J99" s="96"/>
      <c r="K99" s="96"/>
      <c r="L99" s="96"/>
      <c r="M99" s="96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</row>
    <row r="100" spans="1:13" ht="38.25" customHeight="1">
      <c r="A100" s="125">
        <v>4</v>
      </c>
      <c r="B100" s="99"/>
      <c r="C100" s="116"/>
      <c r="D100" s="122">
        <v>44664</v>
      </c>
      <c r="E100" s="127" t="s">
        <v>283</v>
      </c>
      <c r="F100" s="100"/>
      <c r="G100" s="101" t="s">
        <v>302</v>
      </c>
      <c r="H100" s="115">
        <v>84286.74</v>
      </c>
      <c r="I100" s="115">
        <f>I99-H100</f>
        <v>443785.07999999996</v>
      </c>
      <c r="J100" s="91"/>
      <c r="K100" s="91"/>
      <c r="L100" s="91"/>
      <c r="M100" s="91"/>
    </row>
    <row r="101" spans="1:57" s="109" customFormat="1" ht="25.5" customHeight="1">
      <c r="A101" s="125">
        <v>5</v>
      </c>
      <c r="B101" s="110"/>
      <c r="C101" s="115"/>
      <c r="D101" s="110">
        <v>44704</v>
      </c>
      <c r="E101" s="126" t="s">
        <v>237</v>
      </c>
      <c r="F101" s="100" t="s">
        <v>63</v>
      </c>
      <c r="G101" s="101" t="s">
        <v>72</v>
      </c>
      <c r="H101" s="115">
        <v>443335.08</v>
      </c>
      <c r="I101" s="115">
        <f>I100-H101</f>
        <v>449.9999999999418</v>
      </c>
      <c r="J101" s="96"/>
      <c r="K101" s="96"/>
      <c r="L101" s="96"/>
      <c r="M101" s="96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</row>
    <row r="102" spans="1:57" s="104" customFormat="1" ht="19.5" customHeight="1">
      <c r="A102" s="106">
        <v>6</v>
      </c>
      <c r="B102" s="129">
        <v>44712</v>
      </c>
      <c r="C102" s="117">
        <v>84286.74</v>
      </c>
      <c r="D102" s="124"/>
      <c r="E102" s="132"/>
      <c r="F102" s="133"/>
      <c r="G102" s="134"/>
      <c r="H102" s="124"/>
      <c r="I102" s="117">
        <f>I101+C102</f>
        <v>84736.73999999995</v>
      </c>
      <c r="J102" s="103"/>
      <c r="K102" s="103"/>
      <c r="L102" s="103"/>
      <c r="M102" s="103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</row>
    <row r="103" spans="1:57" s="104" customFormat="1" ht="19.5" customHeight="1">
      <c r="A103" s="106">
        <v>7</v>
      </c>
      <c r="B103" s="129">
        <v>44859</v>
      </c>
      <c r="C103" s="117">
        <v>-2563.84</v>
      </c>
      <c r="D103" s="124"/>
      <c r="E103" s="132"/>
      <c r="F103" s="133"/>
      <c r="G103" s="134"/>
      <c r="H103" s="124"/>
      <c r="I103" s="117">
        <f>I102+C103</f>
        <v>82172.89999999995</v>
      </c>
      <c r="J103" s="103"/>
      <c r="K103" s="103"/>
      <c r="L103" s="103"/>
      <c r="M103" s="103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</row>
    <row r="104" spans="1:57" s="109" customFormat="1" ht="36.75" customHeight="1">
      <c r="A104" s="125">
        <v>8</v>
      </c>
      <c r="B104" s="110"/>
      <c r="C104" s="115"/>
      <c r="D104" s="110">
        <v>44924</v>
      </c>
      <c r="E104" s="127" t="s">
        <v>301</v>
      </c>
      <c r="F104" s="100" t="s">
        <v>63</v>
      </c>
      <c r="G104" s="101" t="s">
        <v>72</v>
      </c>
      <c r="H104" s="115">
        <v>-35411.76</v>
      </c>
      <c r="I104" s="115">
        <f>I103-H104</f>
        <v>117584.65999999995</v>
      </c>
      <c r="J104" s="96"/>
      <c r="K104" s="96"/>
      <c r="L104" s="96"/>
      <c r="M104" s="96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</row>
    <row r="105" spans="1:57" s="104" customFormat="1" ht="19.5" customHeight="1">
      <c r="A105" s="123"/>
      <c r="B105" s="164" t="s">
        <v>300</v>
      </c>
      <c r="C105" s="165"/>
      <c r="D105" s="166"/>
      <c r="E105" s="166"/>
      <c r="F105" s="166"/>
      <c r="G105" s="167"/>
      <c r="H105" s="124"/>
      <c r="I105" s="124"/>
      <c r="J105" s="103"/>
      <c r="K105" s="103"/>
      <c r="L105" s="103"/>
      <c r="M105" s="103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</row>
    <row r="106" spans="1:57" s="104" customFormat="1" ht="19.5" customHeight="1" thickBot="1">
      <c r="A106" s="139"/>
      <c r="B106" s="140"/>
      <c r="C106" s="141">
        <f>C97+C98+C102+C103</f>
        <v>654794.72</v>
      </c>
      <c r="D106" s="141"/>
      <c r="E106" s="142"/>
      <c r="F106" s="143"/>
      <c r="G106" s="144"/>
      <c r="H106" s="145">
        <f>SUM(H97:H105)</f>
        <v>537210.06</v>
      </c>
      <c r="I106" s="146">
        <f>I104</f>
        <v>117584.65999999995</v>
      </c>
      <c r="J106" s="148"/>
      <c r="K106" s="103"/>
      <c r="L106" s="103"/>
      <c r="M106" s="103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</row>
    <row r="107" ht="12.75" thickTop="1"/>
  </sheetData>
  <sheetProtection/>
  <mergeCells count="21">
    <mergeCell ref="B94:G94"/>
    <mergeCell ref="B105:G105"/>
    <mergeCell ref="H1:I1"/>
    <mergeCell ref="A96:I96"/>
    <mergeCell ref="A81:I81"/>
    <mergeCell ref="A26:I26"/>
    <mergeCell ref="B30:G30"/>
    <mergeCell ref="B79:G79"/>
    <mergeCell ref="A8:I8"/>
    <mergeCell ref="A20:I20"/>
    <mergeCell ref="B24:G24"/>
    <mergeCell ref="B68:G68"/>
    <mergeCell ref="I5:I6"/>
    <mergeCell ref="A70:I70"/>
    <mergeCell ref="B18:G18"/>
    <mergeCell ref="A32:I32"/>
    <mergeCell ref="J1:L1"/>
    <mergeCell ref="A3:I3"/>
    <mergeCell ref="A5:A6"/>
    <mergeCell ref="B5:C5"/>
    <mergeCell ref="D5:H5"/>
  </mergeCells>
  <printOptions/>
  <pageMargins left="0.5118110236220472" right="0" top="0.3937007874015748" bottom="0.3937007874015748" header="0.31496062992125984" footer="0.31496062992125984"/>
  <pageSetup horizontalDpi="600" verticalDpi="600" orientation="portrait" paperSize="9" scale="70" r:id="rId1"/>
  <ignoredErrors>
    <ignoredError sqref="H10:I11 H15:I19 H12:H14 C19 I22 A23:I27 A30:I31 A28:D28 F28:I28 I34:I36 I51:I53 I61:I65 H69:I69 C69 I73:I77 H78:I80 C106 H106 I104:I106 I99 I100:I101 I103 I84:I85 H95:I95 I92:I93 I87:I88 C95" unlockedFormula="1"/>
    <ignoredError sqref="I12:I14 I37:I50 I54:I55 I57:I60 I56 I66:I67 I102 I89:I91 I8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</dc:creator>
  <cp:keywords/>
  <dc:description/>
  <cp:lastModifiedBy>var</cp:lastModifiedBy>
  <cp:lastPrinted>2023-03-29T16:50:19Z</cp:lastPrinted>
  <dcterms:created xsi:type="dcterms:W3CDTF">2023-03-12T13:50:10Z</dcterms:created>
  <dcterms:modified xsi:type="dcterms:W3CDTF">2023-06-05T09:50:33Z</dcterms:modified>
  <cp:category/>
  <cp:version/>
  <cp:contentType/>
  <cp:contentStatus/>
</cp:coreProperties>
</file>