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200" windowHeight="10860"/>
  </bookViews>
  <sheets>
    <sheet name="итог" sheetId="2" r:id="rId1"/>
    <sheet name="итог (2)" sheetId="3" state="hidden" r:id="rId2"/>
    <sheet name="Лист1" sheetId="4" state="hidden" r:id="rId3"/>
  </sheets>
  <definedNames>
    <definedName name="_xlnm.Print_Titles" localSheetId="0">итог!$3:$5</definedName>
    <definedName name="_xlnm.Print_Titles" localSheetId="1">'итог (2)'!$3:$5</definedName>
    <definedName name="_xlnm.Print_Area" localSheetId="0">итог!$A$1:$U$130</definedName>
  </definedNames>
  <calcPr calcId="145621"/>
</workbook>
</file>

<file path=xl/calcChain.xml><?xml version="1.0" encoding="utf-8"?>
<calcChain xmlns="http://schemas.openxmlformats.org/spreadsheetml/2006/main">
  <c r="O98" i="2" l="1"/>
  <c r="M78" i="2" l="1"/>
  <c r="R50" i="2" l="1"/>
  <c r="S50" i="2"/>
  <c r="Q67" i="2" l="1"/>
  <c r="Q50" i="2" s="1"/>
  <c r="P67" i="2" l="1"/>
  <c r="P50" i="2" s="1"/>
  <c r="N127" i="2" l="1"/>
  <c r="O127" i="2"/>
  <c r="I50" i="2"/>
  <c r="I87" i="2" l="1"/>
  <c r="J87" i="2"/>
  <c r="K87" i="2"/>
  <c r="L87" i="2"/>
  <c r="M87" i="2"/>
  <c r="N87" i="2"/>
  <c r="O87" i="2"/>
  <c r="P87" i="2"/>
  <c r="Q87" i="2"/>
  <c r="R87" i="2"/>
  <c r="S87" i="2"/>
  <c r="H87" i="2"/>
  <c r="U78" i="2"/>
  <c r="L78" i="2"/>
  <c r="T78" i="2" s="1"/>
  <c r="N50" i="2" l="1"/>
  <c r="N124" i="2"/>
  <c r="M126" i="2"/>
  <c r="L126" i="2"/>
  <c r="N97" i="2"/>
  <c r="L97" i="2"/>
  <c r="J97" i="2"/>
  <c r="N79" i="2"/>
  <c r="M79" i="2"/>
  <c r="O79" i="2"/>
  <c r="P79" i="2"/>
  <c r="Q79" i="2"/>
  <c r="R79" i="2"/>
  <c r="S79" i="2"/>
  <c r="L79" i="2"/>
  <c r="K97" i="2"/>
  <c r="M97" i="2"/>
  <c r="O97" i="2"/>
  <c r="P97" i="2"/>
  <c r="Q97" i="2"/>
  <c r="R97" i="2"/>
  <c r="S97" i="2"/>
  <c r="V97" i="2"/>
  <c r="W97" i="2"/>
  <c r="X97" i="2"/>
  <c r="Y97" i="2"/>
  <c r="Z97" i="2"/>
  <c r="AA97" i="2"/>
  <c r="AB97" i="2"/>
  <c r="H97" i="2"/>
  <c r="H79" i="2"/>
  <c r="M85" i="2"/>
  <c r="K85" i="2"/>
  <c r="U67" i="2"/>
  <c r="T67" i="2"/>
  <c r="L77" i="2"/>
  <c r="L125" i="2" s="1"/>
  <c r="M69" i="2"/>
  <c r="N49" i="2" l="1"/>
  <c r="O61" i="2"/>
  <c r="M61" i="2"/>
  <c r="O74" i="2"/>
  <c r="M74" i="2"/>
  <c r="O65" i="2" l="1"/>
  <c r="M65" i="2"/>
  <c r="T83" i="2" l="1"/>
  <c r="U83" i="2"/>
  <c r="U65" i="2"/>
  <c r="U66" i="2"/>
  <c r="T65" i="2"/>
  <c r="T66" i="2"/>
  <c r="U108" i="2"/>
  <c r="T108" i="2"/>
  <c r="U77" i="2"/>
  <c r="T77" i="2"/>
  <c r="T72" i="2"/>
  <c r="U72" i="2"/>
  <c r="V50" i="2" l="1"/>
  <c r="W50" i="2"/>
  <c r="X50" i="2"/>
  <c r="Y50" i="2"/>
  <c r="Z50" i="2"/>
  <c r="AA50" i="2"/>
  <c r="AB50" i="2"/>
  <c r="H51" i="2"/>
  <c r="H50" i="2" s="1"/>
  <c r="T88" i="2"/>
  <c r="T87" i="2" s="1"/>
  <c r="U88" i="2"/>
  <c r="U87" i="2" s="1"/>
  <c r="T76" i="2" l="1"/>
  <c r="U76" i="2"/>
  <c r="U75" i="2"/>
  <c r="T75" i="2"/>
  <c r="U69" i="2" l="1"/>
  <c r="T69" i="2"/>
  <c r="U74" i="2"/>
  <c r="T74" i="2"/>
  <c r="U61" i="2"/>
  <c r="T61" i="2"/>
  <c r="V125" i="2" l="1"/>
  <c r="W125" i="2"/>
  <c r="X125" i="2"/>
  <c r="Y125" i="2"/>
  <c r="Z125" i="2"/>
  <c r="AA125" i="2"/>
  <c r="AB125" i="2"/>
  <c r="T71" i="2" l="1"/>
  <c r="U71" i="2"/>
  <c r="T63" i="2" l="1"/>
  <c r="U63" i="2"/>
  <c r="M57" i="2"/>
  <c r="M123" i="2" s="1"/>
  <c r="L57" i="2"/>
  <c r="L50" i="2" s="1"/>
  <c r="J57" i="2"/>
  <c r="K57" i="2"/>
  <c r="L123" i="2" l="1"/>
  <c r="U57" i="2"/>
  <c r="T57" i="2"/>
  <c r="I79" i="2"/>
  <c r="J79" i="2"/>
  <c r="K79" i="2"/>
  <c r="V79" i="2"/>
  <c r="W79" i="2"/>
  <c r="X79" i="2"/>
  <c r="Y79" i="2"/>
  <c r="Z79" i="2"/>
  <c r="AA79" i="2"/>
  <c r="AB79" i="2"/>
  <c r="K70" i="2"/>
  <c r="J70" i="2"/>
  <c r="J50" i="2" s="1"/>
  <c r="T82" i="2"/>
  <c r="U82" i="2"/>
  <c r="S49" i="2" l="1"/>
  <c r="R49" i="2"/>
  <c r="Q49" i="2"/>
  <c r="P49" i="2"/>
  <c r="J85" i="2"/>
  <c r="J49" i="2" s="1"/>
  <c r="L49" i="2"/>
  <c r="T59" i="2"/>
  <c r="T64" i="2" l="1"/>
  <c r="U64" i="2"/>
  <c r="T70" i="2"/>
  <c r="U70" i="2"/>
  <c r="M68" i="2" l="1"/>
  <c r="U62" i="2"/>
  <c r="T62" i="2"/>
  <c r="U86" i="2"/>
  <c r="T86" i="2"/>
  <c r="U60" i="2"/>
  <c r="T60" i="2"/>
  <c r="U59" i="2"/>
  <c r="M125" i="2" l="1"/>
  <c r="M50" i="2"/>
  <c r="M49" i="2" s="1"/>
  <c r="T68" i="2" l="1"/>
  <c r="O68" i="2"/>
  <c r="O50" i="2" l="1"/>
  <c r="O124" i="2"/>
  <c r="O49" i="2"/>
  <c r="U68" i="2"/>
  <c r="T18" i="2"/>
  <c r="K51" i="2" l="1"/>
  <c r="K50" i="2" s="1"/>
  <c r="J44" i="2"/>
  <c r="K44" i="2"/>
  <c r="L44" i="2"/>
  <c r="M44" i="2"/>
  <c r="N44" i="2"/>
  <c r="O44" i="2"/>
  <c r="P44" i="2"/>
  <c r="Q44" i="2"/>
  <c r="R44" i="2"/>
  <c r="S44" i="2"/>
  <c r="U44" i="2"/>
  <c r="H44" i="2"/>
  <c r="K49" i="2" l="1"/>
  <c r="U114" i="2"/>
  <c r="T114" i="2"/>
  <c r="U113" i="2"/>
  <c r="T113" i="2"/>
  <c r="U107" i="2"/>
  <c r="T107" i="2"/>
  <c r="T98" i="2"/>
  <c r="T48" i="2"/>
  <c r="T44" i="2" s="1"/>
  <c r="T97" i="2" l="1"/>
  <c r="I44" i="2"/>
  <c r="I31" i="2"/>
  <c r="J31" i="2"/>
  <c r="K31" i="2"/>
  <c r="L31" i="2"/>
  <c r="M31" i="2"/>
  <c r="N31" i="2"/>
  <c r="O31" i="2"/>
  <c r="P31" i="2"/>
  <c r="Q31" i="2"/>
  <c r="R31" i="2"/>
  <c r="S31" i="2"/>
  <c r="H31" i="2"/>
  <c r="U81" i="2" l="1"/>
  <c r="T81" i="2"/>
  <c r="U80" i="2"/>
  <c r="U79" i="2" s="1"/>
  <c r="T80" i="2"/>
  <c r="T79" i="2" s="1"/>
  <c r="U58" i="2"/>
  <c r="T58" i="2"/>
  <c r="U56" i="2"/>
  <c r="T56" i="2"/>
  <c r="U55" i="2"/>
  <c r="T55" i="2"/>
  <c r="U54" i="2"/>
  <c r="T54" i="2"/>
  <c r="U53" i="2"/>
  <c r="T53" i="2"/>
  <c r="U52" i="2"/>
  <c r="T52" i="2"/>
  <c r="U51" i="2" l="1"/>
  <c r="U50" i="2" s="1"/>
  <c r="U40" i="2"/>
  <c r="U39" i="2"/>
  <c r="T39" i="2"/>
  <c r="T37" i="2"/>
  <c r="T34" i="2" l="1"/>
  <c r="T31" i="2" s="1"/>
  <c r="U34" i="2"/>
  <c r="U31" i="2" s="1"/>
  <c r="T29" i="2"/>
  <c r="U28" i="2"/>
  <c r="T28" i="2"/>
  <c r="U26" i="2"/>
  <c r="T26" i="2"/>
  <c r="U24" i="2"/>
  <c r="T24" i="2"/>
  <c r="U25" i="2"/>
  <c r="T25" i="2"/>
  <c r="U22" i="2"/>
  <c r="T22" i="2"/>
  <c r="H23" i="2" l="1"/>
  <c r="H85" i="2" l="1"/>
  <c r="T85" i="2" s="1"/>
  <c r="V128" i="2" l="1"/>
  <c r="W128" i="2"/>
  <c r="X128" i="2"/>
  <c r="Y128" i="2"/>
  <c r="Z128" i="2"/>
  <c r="AA128" i="2"/>
  <c r="AB128" i="2"/>
  <c r="I23" i="2"/>
  <c r="J23" i="2"/>
  <c r="K23" i="2"/>
  <c r="L23" i="2"/>
  <c r="M23" i="2"/>
  <c r="N23" i="2"/>
  <c r="O23" i="2"/>
  <c r="P23" i="2"/>
  <c r="Q23" i="2"/>
  <c r="R23" i="2"/>
  <c r="S23" i="2"/>
  <c r="I85" i="2"/>
  <c r="I49" i="2" s="1"/>
  <c r="U85" i="2" l="1"/>
  <c r="I98" i="2"/>
  <c r="I97" i="2" s="1"/>
  <c r="U98" i="2" l="1"/>
  <c r="U97" i="2" s="1"/>
  <c r="H49" i="2" l="1"/>
  <c r="T51" i="2"/>
  <c r="T50" i="2" s="1"/>
  <c r="T49" i="2" l="1"/>
  <c r="V87" i="2"/>
  <c r="W87" i="2"/>
  <c r="X87" i="2"/>
  <c r="Y87" i="2"/>
  <c r="Z87" i="2"/>
  <c r="AA87" i="2"/>
  <c r="AB87" i="2"/>
  <c r="H16" i="2" l="1"/>
  <c r="I16" i="2"/>
  <c r="I42" i="2" s="1"/>
  <c r="J16" i="2"/>
  <c r="J42" i="2" s="1"/>
  <c r="K16" i="2"/>
  <c r="K42" i="2" s="1"/>
  <c r="L16" i="2"/>
  <c r="L42" i="2" s="1"/>
  <c r="M16" i="2"/>
  <c r="M42" i="2" s="1"/>
  <c r="N16" i="2"/>
  <c r="N42" i="2" s="1"/>
  <c r="O16" i="2"/>
  <c r="O42" i="2" s="1"/>
  <c r="P16" i="2"/>
  <c r="P42" i="2" s="1"/>
  <c r="Q16" i="2"/>
  <c r="Q42" i="2" s="1"/>
  <c r="R16" i="2"/>
  <c r="R42" i="2" s="1"/>
  <c r="S16" i="2"/>
  <c r="S42" i="2" s="1"/>
  <c r="U16" i="2"/>
  <c r="T16" i="2"/>
  <c r="T106" i="2" l="1"/>
  <c r="T41" i="2"/>
  <c r="S110" i="2"/>
  <c r="R110" i="2"/>
  <c r="Q110" i="2"/>
  <c r="P110" i="2"/>
  <c r="O110" i="2"/>
  <c r="N110" i="2"/>
  <c r="M110" i="2"/>
  <c r="L110" i="2"/>
  <c r="H40" i="2" l="1"/>
  <c r="T40" i="2" l="1"/>
  <c r="H42" i="2"/>
  <c r="T23" i="2"/>
  <c r="T42" i="2" l="1"/>
  <c r="T105" i="2"/>
  <c r="M121" i="2" l="1"/>
  <c r="M128" i="2" s="1"/>
  <c r="AA110" i="3" l="1"/>
  <c r="AA109" i="3"/>
  <c r="AB109" i="3" s="1"/>
  <c r="AA108" i="3"/>
  <c r="AB108" i="3" s="1"/>
  <c r="AA107" i="3"/>
  <c r="AB107" i="3" s="1"/>
  <c r="Z110" i="3"/>
  <c r="AB110" i="3" s="1"/>
  <c r="AG102" i="3"/>
  <c r="AF102" i="3"/>
  <c r="AG101" i="3"/>
  <c r="AF101" i="3"/>
  <c r="AG98" i="3"/>
  <c r="AF98" i="3"/>
  <c r="AE98" i="3"/>
  <c r="AD98" i="3"/>
  <c r="AC98" i="3"/>
  <c r="AB98" i="3"/>
  <c r="AA98" i="3"/>
  <c r="Z98" i="3"/>
  <c r="AG97" i="3"/>
  <c r="AF97" i="3"/>
  <c r="AG96" i="3"/>
  <c r="AD96" i="3"/>
  <c r="AD94" i="3" s="1"/>
  <c r="AD88" i="3" s="1"/>
  <c r="AB96" i="3"/>
  <c r="AB94" i="3" s="1"/>
  <c r="AB88" i="3" s="1"/>
  <c r="Z96" i="3"/>
  <c r="AG95" i="3"/>
  <c r="Z95" i="3"/>
  <c r="AF95" i="3" s="1"/>
  <c r="AE94" i="3"/>
  <c r="AE88" i="3" s="1"/>
  <c r="AC94" i="3"/>
  <c r="AA94" i="3"/>
  <c r="AG94" i="3" s="1"/>
  <c r="AG89" i="3"/>
  <c r="AF89" i="3"/>
  <c r="AC88" i="3"/>
  <c r="AG80" i="3"/>
  <c r="AG79" i="3" s="1"/>
  <c r="AD80" i="3"/>
  <c r="AB80" i="3"/>
  <c r="AB79" i="3" s="1"/>
  <c r="Z80" i="3"/>
  <c r="AE79" i="3"/>
  <c r="AD79" i="3"/>
  <c r="AC79" i="3"/>
  <c r="AA79" i="3"/>
  <c r="Z79" i="3"/>
  <c r="AG72" i="3"/>
  <c r="Z72" i="3"/>
  <c r="AB72" i="3" s="1"/>
  <c r="AD71" i="3"/>
  <c r="AE71" i="3" s="1"/>
  <c r="AB71" i="3"/>
  <c r="AC71" i="3" s="1"/>
  <c r="Z71" i="3"/>
  <c r="Z70" i="3"/>
  <c r="AA70" i="3" s="1"/>
  <c r="Z69" i="3"/>
  <c r="AA69" i="3" s="1"/>
  <c r="AG68" i="3"/>
  <c r="Z68" i="3"/>
  <c r="AD68" i="3" s="1"/>
  <c r="AG67" i="3"/>
  <c r="Z67" i="3"/>
  <c r="AD67" i="3" s="1"/>
  <c r="AG66" i="3"/>
  <c r="AB66" i="3"/>
  <c r="AD66" i="3" s="1"/>
  <c r="Z66" i="3"/>
  <c r="AG65" i="3"/>
  <c r="AF65" i="3"/>
  <c r="AG64" i="3"/>
  <c r="AB64" i="3"/>
  <c r="Z64" i="3"/>
  <c r="AB62" i="3"/>
  <c r="AG61" i="3"/>
  <c r="AF61" i="3"/>
  <c r="AD60" i="3"/>
  <c r="AE60" i="3" s="1"/>
  <c r="AB60" i="3"/>
  <c r="AG58" i="3"/>
  <c r="AG57" i="3"/>
  <c r="AB57" i="3"/>
  <c r="AD57" i="3" s="1"/>
  <c r="Z57" i="3"/>
  <c r="AG56" i="3"/>
  <c r="AB56" i="3"/>
  <c r="Z56" i="3"/>
  <c r="AE55" i="3"/>
  <c r="AC55" i="3"/>
  <c r="AA55" i="3"/>
  <c r="AE54" i="3"/>
  <c r="AD54" i="3"/>
  <c r="AC54" i="3"/>
  <c r="AB54" i="3" s="1"/>
  <c r="AB50" i="3" s="1"/>
  <c r="AA54" i="3"/>
  <c r="AG53" i="3"/>
  <c r="AF53" i="3"/>
  <c r="AG52" i="3"/>
  <c r="AF52" i="3"/>
  <c r="AG51" i="3"/>
  <c r="AF51" i="3"/>
  <c r="AE50" i="3"/>
  <c r="AD50" i="3"/>
  <c r="AC50" i="3"/>
  <c r="AA50" i="3"/>
  <c r="AF48" i="3"/>
  <c r="AF46" i="3"/>
  <c r="AG44" i="3"/>
  <c r="AF44" i="3"/>
  <c r="AG40" i="3"/>
  <c r="AE40" i="3"/>
  <c r="AD40" i="3"/>
  <c r="AC40" i="3"/>
  <c r="AB40" i="3"/>
  <c r="AA40" i="3"/>
  <c r="Z40" i="3"/>
  <c r="AG31" i="3"/>
  <c r="AF31" i="3"/>
  <c r="AG30" i="3"/>
  <c r="AF30" i="3"/>
  <c r="AG28" i="3"/>
  <c r="AF28" i="3"/>
  <c r="AE28" i="3"/>
  <c r="AD28" i="3"/>
  <c r="AC28" i="3"/>
  <c r="AB28" i="3"/>
  <c r="AA28" i="3"/>
  <c r="Z28" i="3"/>
  <c r="AG27" i="3"/>
  <c r="AF27" i="3"/>
  <c r="AG25" i="3"/>
  <c r="AG23" i="3"/>
  <c r="AF23" i="3"/>
  <c r="AG22" i="3"/>
  <c r="AF22" i="3"/>
  <c r="AE21" i="3"/>
  <c r="AD21" i="3"/>
  <c r="AC21" i="3"/>
  <c r="AB21" i="3"/>
  <c r="AA21" i="3"/>
  <c r="Z21" i="3"/>
  <c r="AG20" i="3"/>
  <c r="AF20" i="3"/>
  <c r="AG17" i="3"/>
  <c r="AF17" i="3"/>
  <c r="AG15" i="3"/>
  <c r="AE15" i="3"/>
  <c r="AD15" i="3"/>
  <c r="AC15" i="3"/>
  <c r="AB15" i="3"/>
  <c r="AA15" i="3"/>
  <c r="Z15" i="3"/>
  <c r="AF15" i="3" s="1"/>
  <c r="AG14" i="3"/>
  <c r="AF14" i="3"/>
  <c r="AF13" i="3" s="1"/>
  <c r="AG13" i="3"/>
  <c r="AE13" i="3"/>
  <c r="AD13" i="3"/>
  <c r="AC13" i="3"/>
  <c r="AB13" i="3"/>
  <c r="AA13" i="3"/>
  <c r="Z13" i="3"/>
  <c r="AG8" i="3"/>
  <c r="AF8" i="3"/>
  <c r="AG7" i="3"/>
  <c r="AF7" i="3"/>
  <c r="AE7" i="3"/>
  <c r="AD7" i="3"/>
  <c r="AC7" i="3"/>
  <c r="AB7" i="3"/>
  <c r="AA7" i="3"/>
  <c r="Z7" i="3"/>
  <c r="O102" i="3"/>
  <c r="N102" i="3"/>
  <c r="O101" i="3"/>
  <c r="N101" i="3"/>
  <c r="O98" i="3"/>
  <c r="M98" i="3"/>
  <c r="L98" i="3"/>
  <c r="K98" i="3"/>
  <c r="J98" i="3"/>
  <c r="I98" i="3"/>
  <c r="H98" i="3"/>
  <c r="O97" i="3"/>
  <c r="N97" i="3"/>
  <c r="O96" i="3"/>
  <c r="L96" i="3"/>
  <c r="L94" i="3" s="1"/>
  <c r="L88" i="3" s="1"/>
  <c r="J96" i="3"/>
  <c r="H96" i="3"/>
  <c r="O95" i="3"/>
  <c r="H95" i="3"/>
  <c r="N95" i="3" s="1"/>
  <c r="M94" i="3"/>
  <c r="K94" i="3"/>
  <c r="J94" i="3"/>
  <c r="I94" i="3"/>
  <c r="O89" i="3"/>
  <c r="N89" i="3"/>
  <c r="M88" i="3"/>
  <c r="K88" i="3"/>
  <c r="J88" i="3"/>
  <c r="I88" i="3"/>
  <c r="O80" i="3"/>
  <c r="O79" i="3" s="1"/>
  <c r="L80" i="3"/>
  <c r="J80" i="3"/>
  <c r="J79" i="3" s="1"/>
  <c r="H80" i="3"/>
  <c r="H79" i="3" s="1"/>
  <c r="M79" i="3"/>
  <c r="L79" i="3"/>
  <c r="K79" i="3"/>
  <c r="I79" i="3"/>
  <c r="O72" i="3"/>
  <c r="H72" i="3"/>
  <c r="J72" i="3" s="1"/>
  <c r="L72" i="3" s="1"/>
  <c r="L71" i="3"/>
  <c r="M71" i="3" s="1"/>
  <c r="J71" i="3"/>
  <c r="K71" i="3" s="1"/>
  <c r="H71" i="3"/>
  <c r="H70" i="3"/>
  <c r="I70" i="3" s="1"/>
  <c r="H69" i="3"/>
  <c r="I69" i="3" s="1"/>
  <c r="O68" i="3"/>
  <c r="H68" i="3"/>
  <c r="O67" i="3"/>
  <c r="H67" i="3"/>
  <c r="L67" i="3" s="1"/>
  <c r="O66" i="3"/>
  <c r="J66" i="3"/>
  <c r="L66" i="3" s="1"/>
  <c r="H66" i="3"/>
  <c r="O65" i="3"/>
  <c r="N65" i="3"/>
  <c r="O64" i="3"/>
  <c r="J64" i="3"/>
  <c r="L64" i="3" s="1"/>
  <c r="H64" i="3"/>
  <c r="J62" i="3"/>
  <c r="L62" i="3" s="1"/>
  <c r="O61" i="3"/>
  <c r="N61" i="3"/>
  <c r="L60" i="3"/>
  <c r="M60" i="3" s="1"/>
  <c r="J60" i="3"/>
  <c r="K60" i="3" s="1"/>
  <c r="O58" i="3"/>
  <c r="O57" i="3"/>
  <c r="J57" i="3"/>
  <c r="L57" i="3" s="1"/>
  <c r="H57" i="3"/>
  <c r="O56" i="3"/>
  <c r="J56" i="3"/>
  <c r="L56" i="3" s="1"/>
  <c r="H56" i="3"/>
  <c r="M55" i="3"/>
  <c r="K55" i="3"/>
  <c r="I55" i="3"/>
  <c r="M54" i="3"/>
  <c r="L54" i="3"/>
  <c r="K54" i="3"/>
  <c r="J54" i="3" s="1"/>
  <c r="J50" i="3" s="1"/>
  <c r="I54" i="3"/>
  <c r="H54" i="3" s="1"/>
  <c r="O53" i="3"/>
  <c r="N53" i="3"/>
  <c r="O52" i="3"/>
  <c r="N52" i="3"/>
  <c r="O51" i="3"/>
  <c r="N51" i="3"/>
  <c r="M50" i="3"/>
  <c r="L50" i="3"/>
  <c r="K50" i="3"/>
  <c r="I50" i="3"/>
  <c r="N48" i="3"/>
  <c r="N46" i="3"/>
  <c r="O44" i="3"/>
  <c r="N44" i="3"/>
  <c r="O40" i="3"/>
  <c r="M40" i="3"/>
  <c r="L40" i="3"/>
  <c r="K40" i="3"/>
  <c r="J40" i="3"/>
  <c r="I40" i="3"/>
  <c r="H40" i="3"/>
  <c r="O31" i="3"/>
  <c r="N31" i="3"/>
  <c r="O30" i="3"/>
  <c r="N30" i="3"/>
  <c r="O28" i="3"/>
  <c r="N28" i="3"/>
  <c r="M28" i="3"/>
  <c r="L28" i="3"/>
  <c r="K28" i="3"/>
  <c r="J28" i="3"/>
  <c r="I28" i="3"/>
  <c r="H28" i="3"/>
  <c r="O27" i="3"/>
  <c r="N27" i="3"/>
  <c r="O25" i="3"/>
  <c r="O23" i="3"/>
  <c r="N23" i="3"/>
  <c r="O22" i="3"/>
  <c r="N22" i="3"/>
  <c r="M21" i="3"/>
  <c r="L21" i="3"/>
  <c r="K21" i="3"/>
  <c r="J21" i="3"/>
  <c r="I21" i="3"/>
  <c r="H21" i="3"/>
  <c r="O20" i="3"/>
  <c r="N20" i="3"/>
  <c r="O17" i="3"/>
  <c r="N17" i="3"/>
  <c r="O15" i="3"/>
  <c r="M15" i="3"/>
  <c r="L15" i="3"/>
  <c r="K15" i="3"/>
  <c r="J15" i="3"/>
  <c r="I15" i="3"/>
  <c r="H15" i="3"/>
  <c r="N15" i="3" s="1"/>
  <c r="O14" i="3"/>
  <c r="N14" i="3"/>
  <c r="O13" i="3"/>
  <c r="N13" i="3"/>
  <c r="M13" i="3"/>
  <c r="L13" i="3"/>
  <c r="K13" i="3"/>
  <c r="J13" i="3"/>
  <c r="I13" i="3"/>
  <c r="H13" i="3"/>
  <c r="O8" i="3"/>
  <c r="O7" i="3" s="1"/>
  <c r="N8" i="3"/>
  <c r="N7" i="3" s="1"/>
  <c r="M7" i="3"/>
  <c r="L7" i="3"/>
  <c r="K7" i="3"/>
  <c r="J7" i="3"/>
  <c r="I7" i="3"/>
  <c r="H7" i="3"/>
  <c r="AG88" i="3" l="1"/>
  <c r="Z38" i="3"/>
  <c r="AB38" i="3"/>
  <c r="AD38" i="3"/>
  <c r="AG54" i="3"/>
  <c r="AG55" i="3"/>
  <c r="AG50" i="3"/>
  <c r="AF57" i="3"/>
  <c r="O121" i="2"/>
  <c r="O128" i="2" s="1"/>
  <c r="N40" i="3"/>
  <c r="AB67" i="3"/>
  <c r="AF67" i="3" s="1"/>
  <c r="AF71" i="3"/>
  <c r="J67" i="3"/>
  <c r="N71" i="3"/>
  <c r="AF40" i="3"/>
  <c r="AA71" i="3"/>
  <c r="AG71" i="3" s="1"/>
  <c r="AF80" i="3"/>
  <c r="AF79" i="3" s="1"/>
  <c r="AA88" i="3"/>
  <c r="AF21" i="3"/>
  <c r="AF38" i="3" s="1"/>
  <c r="AG21" i="3"/>
  <c r="AG38" i="3" s="1"/>
  <c r="AA38" i="3"/>
  <c r="AC38" i="3"/>
  <c r="AE38" i="3"/>
  <c r="AF60" i="3"/>
  <c r="AF96" i="3"/>
  <c r="N96" i="3"/>
  <c r="AF66" i="3"/>
  <c r="Z54" i="3"/>
  <c r="Z55" i="3"/>
  <c r="AB55" i="3"/>
  <c r="AD56" i="3"/>
  <c r="AD55" i="3" s="1"/>
  <c r="AC60" i="3"/>
  <c r="AD62" i="3"/>
  <c r="AF62" i="3" s="1"/>
  <c r="Z63" i="3"/>
  <c r="AD64" i="3"/>
  <c r="AB68" i="3"/>
  <c r="AF68" i="3" s="1"/>
  <c r="AB69" i="3"/>
  <c r="AB70" i="3"/>
  <c r="AD72" i="3"/>
  <c r="AF72" i="3" s="1"/>
  <c r="Z94" i="3"/>
  <c r="I38" i="3"/>
  <c r="K38" i="3"/>
  <c r="M38" i="3"/>
  <c r="O21" i="3"/>
  <c r="O38" i="3" s="1"/>
  <c r="L55" i="3"/>
  <c r="N57" i="3"/>
  <c r="N66" i="3"/>
  <c r="I71" i="3"/>
  <c r="O71" i="3" s="1"/>
  <c r="N80" i="3"/>
  <c r="N79" i="3" s="1"/>
  <c r="N21" i="3"/>
  <c r="N38" i="3" s="1"/>
  <c r="O55" i="3"/>
  <c r="O94" i="3"/>
  <c r="O88" i="3" s="1"/>
  <c r="H38" i="3"/>
  <c r="J38" i="3"/>
  <c r="L38" i="3"/>
  <c r="N98" i="3"/>
  <c r="N67" i="3"/>
  <c r="O60" i="3"/>
  <c r="N54" i="3"/>
  <c r="N50" i="3" s="1"/>
  <c r="H50" i="3"/>
  <c r="Q20" i="3"/>
  <c r="O54" i="3"/>
  <c r="O50" i="3" s="1"/>
  <c r="N56" i="3"/>
  <c r="N60" i="3"/>
  <c r="N62" i="3"/>
  <c r="N64" i="3"/>
  <c r="L68" i="3"/>
  <c r="N72" i="3"/>
  <c r="Q101" i="3"/>
  <c r="S101" i="3" s="1"/>
  <c r="P20" i="3"/>
  <c r="R20" i="3" s="1"/>
  <c r="H55" i="3"/>
  <c r="J55" i="3"/>
  <c r="H63" i="3"/>
  <c r="J68" i="3"/>
  <c r="J69" i="3"/>
  <c r="J70" i="3"/>
  <c r="H94" i="3"/>
  <c r="P101" i="3"/>
  <c r="R101" i="3" s="1"/>
  <c r="N55" i="3" l="1"/>
  <c r="Q121" i="2"/>
  <c r="Q128" i="2" s="1"/>
  <c r="AA63" i="3"/>
  <c r="AA49" i="3" s="1"/>
  <c r="AA103" i="3" s="1"/>
  <c r="AA104" i="3" s="1"/>
  <c r="AC69" i="3"/>
  <c r="AD69" i="3"/>
  <c r="AE69" i="3" s="1"/>
  <c r="AB63" i="3"/>
  <c r="AB49" i="3" s="1"/>
  <c r="AB103" i="3" s="1"/>
  <c r="AB104" i="3" s="1"/>
  <c r="AF94" i="3"/>
  <c r="AF88" i="3" s="1"/>
  <c r="Z88" i="3"/>
  <c r="AC70" i="3"/>
  <c r="AD70" i="3"/>
  <c r="AG60" i="3"/>
  <c r="AF54" i="3"/>
  <c r="AF50" i="3" s="1"/>
  <c r="Z50" i="3"/>
  <c r="Z49" i="3" s="1"/>
  <c r="AF64" i="3"/>
  <c r="AF56" i="3"/>
  <c r="AF55" i="3" s="1"/>
  <c r="I63" i="3"/>
  <c r="I49" i="3" s="1"/>
  <c r="I103" i="3" s="1"/>
  <c r="I104" i="3" s="1"/>
  <c r="N68" i="3"/>
  <c r="U101" i="3"/>
  <c r="N94" i="3"/>
  <c r="N88" i="3" s="1"/>
  <c r="H88" i="3"/>
  <c r="L69" i="3"/>
  <c r="N69" i="3" s="1"/>
  <c r="K69" i="3"/>
  <c r="J63" i="3"/>
  <c r="J49" i="3" s="1"/>
  <c r="J103" i="3" s="1"/>
  <c r="J104" i="3" s="1"/>
  <c r="S20" i="3"/>
  <c r="U20" i="3" s="1"/>
  <c r="L70" i="3"/>
  <c r="K70" i="3"/>
  <c r="T101" i="3"/>
  <c r="V101" i="3" s="1"/>
  <c r="H49" i="3"/>
  <c r="H103" i="3" s="1"/>
  <c r="H104" i="3" s="1"/>
  <c r="T20" i="3"/>
  <c r="V20" i="3" s="1"/>
  <c r="S121" i="2" l="1"/>
  <c r="S128" i="2" s="1"/>
  <c r="AF69" i="3"/>
  <c r="AE70" i="3"/>
  <c r="AE63" i="3" s="1"/>
  <c r="AE49" i="3" s="1"/>
  <c r="AE103" i="3" s="1"/>
  <c r="AE104" i="3" s="1"/>
  <c r="AF70" i="3"/>
  <c r="AC63" i="3"/>
  <c r="AC49" i="3" s="1"/>
  <c r="AC103" i="3" s="1"/>
  <c r="AC104" i="3" s="1"/>
  <c r="AG69" i="3"/>
  <c r="Z103" i="3"/>
  <c r="Z104" i="3" s="1"/>
  <c r="AD63" i="3"/>
  <c r="AD49" i="3" s="1"/>
  <c r="AD103" i="3" s="1"/>
  <c r="AD104" i="3" s="1"/>
  <c r="AG70" i="3"/>
  <c r="M70" i="3"/>
  <c r="O70" i="3" s="1"/>
  <c r="N70" i="3"/>
  <c r="N63" i="3" s="1"/>
  <c r="N49" i="3" s="1"/>
  <c r="N103" i="3" s="1"/>
  <c r="N104" i="3" s="1"/>
  <c r="K63" i="3"/>
  <c r="K49" i="3" s="1"/>
  <c r="K103" i="3" s="1"/>
  <c r="K104" i="3" s="1"/>
  <c r="M69" i="3"/>
  <c r="L63" i="3"/>
  <c r="L49" i="3" s="1"/>
  <c r="L103" i="3" s="1"/>
  <c r="L104" i="3" s="1"/>
  <c r="AF63" i="3" l="1"/>
  <c r="AF49" i="3" s="1"/>
  <c r="AF103" i="3" s="1"/>
  <c r="AF104" i="3" s="1"/>
  <c r="AG63" i="3"/>
  <c r="AG49" i="3" s="1"/>
  <c r="AG103" i="3" s="1"/>
  <c r="AG104" i="3" s="1"/>
  <c r="M63" i="3"/>
  <c r="M49" i="3" s="1"/>
  <c r="M103" i="3" s="1"/>
  <c r="M104" i="3" s="1"/>
  <c r="O69" i="3"/>
  <c r="O63" i="3" s="1"/>
  <c r="O49" i="3" s="1"/>
  <c r="O103" i="3" s="1"/>
  <c r="O104" i="3" s="1"/>
  <c r="V21" i="2"/>
  <c r="W21" i="2"/>
  <c r="Y21" i="2" s="1"/>
  <c r="AA21" i="2" l="1"/>
  <c r="X21" i="2"/>
  <c r="Z21" i="2" s="1"/>
  <c r="AB21" i="2" s="1"/>
  <c r="H110" i="2" l="1"/>
  <c r="I110" i="2"/>
  <c r="J110" i="2"/>
  <c r="K110" i="2"/>
  <c r="U110" i="2"/>
  <c r="W113" i="2" l="1"/>
  <c r="Y113" i="2" s="1"/>
  <c r="AA113" i="2" s="1"/>
  <c r="T110" i="2"/>
  <c r="V113" i="2"/>
  <c r="X113" i="2" l="1"/>
  <c r="Z113" i="2" s="1"/>
  <c r="AB113" i="2" l="1"/>
  <c r="U49" i="2" l="1"/>
  <c r="U104" i="2"/>
  <c r="U105" i="2"/>
  <c r="U106" i="2"/>
  <c r="I121" i="2" l="1"/>
  <c r="H121" i="2"/>
  <c r="K121" i="2"/>
  <c r="J121" i="2"/>
  <c r="T104" i="2"/>
  <c r="N121" i="2" l="1"/>
  <c r="L121" i="2"/>
  <c r="N128" i="2" l="1"/>
  <c r="L128" i="2"/>
  <c r="U121" i="2"/>
  <c r="P121" i="2"/>
  <c r="P128" i="2" s="1"/>
  <c r="R121" i="2" l="1"/>
  <c r="R128" i="2" s="1"/>
  <c r="I128" i="2"/>
  <c r="J128" i="2"/>
  <c r="K128" i="2"/>
  <c r="H128" i="2" l="1"/>
  <c r="T121" i="2"/>
  <c r="T128" i="2" s="1"/>
  <c r="U23" i="2" l="1"/>
  <c r="U42" i="2" l="1"/>
  <c r="U128" i="2" s="1"/>
</calcChain>
</file>

<file path=xl/sharedStrings.xml><?xml version="1.0" encoding="utf-8"?>
<sst xmlns="http://schemas.openxmlformats.org/spreadsheetml/2006/main" count="1892" uniqueCount="599">
  <si>
    <t>1.</t>
  </si>
  <si>
    <t>№ п/п</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</si>
  <si>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</si>
  <si>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</si>
  <si>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</si>
  <si>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</si>
  <si>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</si>
  <si>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</si>
  <si>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</si>
  <si>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</si>
  <si>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Оптимизация расходов на обслуживание муниципального долга</t>
  </si>
  <si>
    <t>Оптимизация бюджетной сети</t>
  </si>
  <si>
    <t>1.2.</t>
  </si>
  <si>
    <t>Срок реализации</t>
  </si>
  <si>
    <t>2018 год</t>
  </si>
  <si>
    <t>2019 год</t>
  </si>
  <si>
    <t>2020 год</t>
  </si>
  <si>
    <t>Итого 2018 - 2020 годы</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</si>
  <si>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</si>
  <si>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</si>
  <si>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</si>
  <si>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</si>
  <si>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</si>
  <si>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</si>
  <si>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</si>
  <si>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Оптимизация режима функционирования дошкольных образовательных организаций</t>
  </si>
  <si>
    <t>1.3.</t>
  </si>
  <si>
    <t>1.4.</t>
  </si>
  <si>
    <t>1.5.</t>
  </si>
  <si>
    <t>1.6.</t>
  </si>
  <si>
    <t>2.</t>
  </si>
  <si>
    <t>2.1.</t>
  </si>
  <si>
    <t>2.2.</t>
  </si>
  <si>
    <t>2.3.</t>
  </si>
  <si>
    <t>2.4.</t>
  </si>
  <si>
    <t>2.5.</t>
  </si>
  <si>
    <t>2.6.</t>
  </si>
  <si>
    <t>2.7.</t>
  </si>
  <si>
    <t>2.8.</t>
  </si>
  <si>
    <t>2.11.</t>
  </si>
  <si>
    <t>2.12.</t>
  </si>
  <si>
    <t>2.13.</t>
  </si>
  <si>
    <t>3.</t>
  </si>
  <si>
    <t>4.</t>
  </si>
  <si>
    <t>3.1.</t>
  </si>
  <si>
    <t>3.2.</t>
  </si>
  <si>
    <t>3.3.</t>
  </si>
  <si>
    <t>3.4.</t>
  </si>
  <si>
    <t>3.5.</t>
  </si>
  <si>
    <t>3.6.</t>
  </si>
  <si>
    <t>4.1.</t>
  </si>
  <si>
    <t>4.2.</t>
  </si>
  <si>
    <t>4.3.</t>
  </si>
  <si>
    <t>4.4.</t>
  </si>
  <si>
    <t>4.5.</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</si>
  <si>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</si>
  <si>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Увеличение доходов от платы за наем жилых помещений</t>
  </si>
  <si>
    <t>Организация межведомственного взаимодействия по выявлению объектов, оказывающих негативное воздействие на окружающую среду и не стоящих на учете, а также по выявлению юридических лиц и индивидуальных предпринимателей, не зарегистрированных в качестве плательщиков платы за негативное воздействие на окружающую среду</t>
  </si>
  <si>
    <t>Переход на определение налоговой базы по налогу на имущество физических лиц исходя из кадастровой стоимости объектов налогообложения</t>
  </si>
  <si>
    <t>Повышение собираемости налоговых и неналоговых доходов</t>
  </si>
  <si>
    <t>5.</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</si>
  <si>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(в том числе в рамках реализации программы поддержки местных инициатив)</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</si>
  <si>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</si>
  <si>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</si>
  <si>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</si>
  <si>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Пересмотр размера корректирующего коэффициента базовой доходности К2, применяемого при расчете единого налога на вмененный доход для отдельных видов деятельности</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</si>
  <si>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</si>
  <si>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Осуществление муниципального земельного контроля</t>
  </si>
  <si>
    <t>Проведение работы по выявлению неиспользуемого имущества в целях привлечения его в хозяйственный оборот (продажа, сдача в аренду)</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</si>
  <si>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</si>
  <si>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5.1.</t>
  </si>
  <si>
    <t>5.2.</t>
  </si>
  <si>
    <t>5.3.</t>
  </si>
  <si>
    <t>5.4.</t>
  </si>
  <si>
    <t>5.5.</t>
  </si>
  <si>
    <t>6.</t>
  </si>
  <si>
    <t>5.6.</t>
  </si>
  <si>
    <t>Обеспечение роста поступлений за счет доходов от использования и реализации земельных участков и муниципального имущества</t>
  </si>
  <si>
    <t>4.6.</t>
  </si>
  <si>
    <t>Увеличение доходов бюджета за счет имущественных налогов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</si>
  <si>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</si>
  <si>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</si>
  <si>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</si>
  <si>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 xml:space="preserve">Отдел экономики
Администрации Кондопожского муниципального района
</t>
  </si>
  <si>
    <t>Отдел экономики
Администрации Кондопожского муниципального района</t>
  </si>
  <si>
    <t>Отдел землеустройства и муниципальной собственности Администрации Кондопожского муниципального района</t>
  </si>
  <si>
    <t>Финансовое управление Администрации Кондопожского муниципального района</t>
  </si>
  <si>
    <t>Отдел жилищно-коммунального хозяйства, архитектуры и градостроительства Администрации Кондопожского муниципального района</t>
  </si>
  <si>
    <t>Администрация Кондопожского муниципального района, Совет Кондопожского муниципального района</t>
  </si>
  <si>
    <t>Единица измерения</t>
  </si>
  <si>
    <t>Значение целевого показателя</t>
  </si>
  <si>
    <t>да</t>
  </si>
  <si>
    <t>да/нет</t>
  </si>
  <si>
    <t>тыс. руб.</t>
  </si>
  <si>
    <t>Непревышение установленных целевых значений показателей средней заработной платы</t>
  </si>
  <si>
    <t>2018-2020 годы</t>
  </si>
  <si>
    <t xml:space="preserve">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налогоплательщиков:
1) осуществляющих выплату заработной платы ниже размера, установленного Соглашением о минимальной заработной плате в Республике Карелия;
2) имеющих признаки неформальной занятости и (или) осуществляющих выплату неофициальной заработной платы;
3) имеющих значительные суммы налогового разрыва по страховым взносам и НДФЛ, имеющих задолженность по НДФЛ и страховым взносам, а также выплачивающих заработную плату ниже уровня среднеотраслевой заработной платы.
</t>
  </si>
  <si>
    <t>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ареса места нахождения зданий, помещений, сооружений; установление правообладателей зданий, помещений, сооружений</t>
  </si>
  <si>
    <t>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 вопросам обеспечения полной и своевременной выплаты заработной платы, поступления страховых взносов (проведение заседаний не реже 1 раза в месяц)</t>
  </si>
  <si>
    <t>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 вопросам обеспечения полной и своевременной выплаты заработной платы, поступления страховых взносов, подготовка предложений по рассмотрению организаций на республиканских комиссиях.</t>
  </si>
  <si>
    <t>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</si>
  <si>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 xml:space="preserve">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налогоый оборот
</t>
  </si>
  <si>
    <t>Проведение работы по выявлению неиспользуемого имущества</t>
  </si>
  <si>
    <t>Активизации работы по проведению торгов по продаже права заключения договоров аренды муниципального имущества, находящихся в муниципальной собственности</t>
  </si>
  <si>
    <t xml:space="preserve"> -</t>
  </si>
  <si>
    <t>ИТОГО по разделу I</t>
  </si>
  <si>
    <t>ИТОГО по разделу II</t>
  </si>
  <si>
    <t>План мероприятий по оздоровлению муниципальных финансов Кондопожского муниципального района</t>
  </si>
  <si>
    <t>Бюджетный эффект</t>
  </si>
  <si>
    <t>Проведение торгов</t>
  </si>
  <si>
    <t>Минимизация остатков за счет заемных средств</t>
  </si>
  <si>
    <t>ВСЕГО:</t>
  </si>
  <si>
    <t>Отдел землеустройства и муниципальной собственности, юридический отдел Администрации Кондопожского муниципального района</t>
  </si>
  <si>
    <t>Обеспечение роста налоговых и неналоговых доходов бюджета Кондопожского муниципального района по итогам исполнения бюджета за 2018 год  по сравнению с уровнем исполнения в 2017 году по указанным показателям в сопоставимых условиях</t>
  </si>
  <si>
    <t>5.7.</t>
  </si>
  <si>
    <t>Эффективное предоставление субсидий юридическим лицам с целью создания новых рабочих мест</t>
  </si>
  <si>
    <t>МКУ "Административно-хозяйственное управление"</t>
  </si>
  <si>
    <t>Администрации сельских поселений, финансовое управление Администрации Кондопожского муниципального района</t>
  </si>
  <si>
    <t xml:space="preserve">Финансовое управление, отдел экономики, отдел землеустройства
Администрации Кондопожского муниципального района
</t>
  </si>
  <si>
    <t>Принятие мер технического характера по снижению объемов потребления коммунальных ресурсов учреждениями (в натуральных показателях)</t>
  </si>
  <si>
    <t>электроэнергия (тыс.кВтч)                                теплоэнергия  (Гкал)             холодн. водоснабж. (куб.м)    гор. водоснабж.  (куб.м)</t>
  </si>
  <si>
    <t>2049,64  15887,82  48326,78 18494,12</t>
  </si>
  <si>
    <t>Привлечение краткосрочных бюджетных кредитов на пополнение остатков средств на счетах местных бюджетов</t>
  </si>
  <si>
    <t>всего</t>
  </si>
  <si>
    <t>Мероприятие/ наименование поселения, учреждения</t>
  </si>
  <si>
    <t>Управление делами Администрации Кондопожского муниципального района</t>
  </si>
  <si>
    <t>Установление ограничений   по принятию решений приводящих к увеличению общей численности работников органов местного самоуправления</t>
  </si>
  <si>
    <t>Установление ограничений на использование экономии, образующейся в связи с наличием вакансий в Кондопожском муниципальном районе</t>
  </si>
  <si>
    <t>Отдел бухгалтерского учета Администрации Кондопожского муниципального района</t>
  </si>
  <si>
    <t>2.1.1.</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</si>
  <si>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 в т.ч.:</t>
  </si>
  <si>
    <t>2017-2020 год</t>
  </si>
  <si>
    <t>Передача полномочий администрации Кондопожского городского поселения Администрации Кондопожского муниципального района (с 01.09.2018 года)</t>
  </si>
  <si>
    <t>Совет Кондопожского муниципального района, Финансовое управление Администрации Кондопожского муниципального района</t>
  </si>
  <si>
    <t>2.1.2.</t>
  </si>
  <si>
    <t>2.1.3.</t>
  </si>
  <si>
    <t>2.2.1.</t>
  </si>
  <si>
    <t>Централизация обеспечивающих функций учреждений: 
- по ведению бухгалтерского учета;
- закупке товаров, работ и услуг;
- материально-техническому обеспечению;
- обслуживанию и ремонту помещений, охране зданий,                                                                                      в том числе:</t>
  </si>
  <si>
    <t>2017-2020 годы</t>
  </si>
  <si>
    <t>2.2.2.</t>
  </si>
  <si>
    <t>2.4.1.</t>
  </si>
  <si>
    <t>2.4.2.</t>
  </si>
  <si>
    <t>2.4.3.</t>
  </si>
  <si>
    <t>2.5.1.</t>
  </si>
  <si>
    <t>2.5.2.</t>
  </si>
  <si>
    <t>2.5.3.</t>
  </si>
  <si>
    <t>2018-2020 год</t>
  </si>
  <si>
    <t>2.5.4.</t>
  </si>
  <si>
    <t>2.5.5.</t>
  </si>
  <si>
    <t>2.5.6.</t>
  </si>
  <si>
    <t>2.5.7.</t>
  </si>
  <si>
    <t>2.5.8.</t>
  </si>
  <si>
    <t>2.6.1.</t>
  </si>
  <si>
    <t>2.6.2.</t>
  </si>
  <si>
    <t>2.6.3.</t>
  </si>
  <si>
    <t>Утверждение норм материальных, технических и иных ресурсов, используемых для оказания муниципальных услуг (выполнения работ), в том числе:</t>
  </si>
  <si>
    <t xml:space="preserve">Утверждение  Положения формирования муниципального задания на оказание муниципальных услуг (выполнение работ) и  утверждение нормативных затрат на выполнение этого задания </t>
  </si>
  <si>
    <t>Проверка обоснований определения сметной стоимости</t>
  </si>
  <si>
    <t>3.6.1.</t>
  </si>
  <si>
    <t>3.6.2.</t>
  </si>
  <si>
    <t>Обеспечение роста поступлений от реализации имущества</t>
  </si>
  <si>
    <t>8950  (2,8)</t>
  </si>
  <si>
    <t>Проведение организационной работы по передаче полномочий</t>
  </si>
  <si>
    <t>х</t>
  </si>
  <si>
    <t>Привелечение средств вышестоящих бюджетов (развитие материально-технической базы)</t>
  </si>
  <si>
    <t>Оптимизация численности работников педагогического персонала,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                                                                                                             -сокращение неэффективных расходов, в том числе:</t>
  </si>
  <si>
    <t>численность обучающихся (воспитанников) в дошкольном образовании расчете на на 1 педагогического работника</t>
  </si>
  <si>
    <t xml:space="preserve">численность обучающихся (воспитанников) в общеобразовательных организаций в расчете на на 1 педагогического работника </t>
  </si>
  <si>
    <t xml:space="preserve">численность обучающихся (воспитанников) в   организациях дополнительного образования в расчете на на 1 педагогического работника </t>
  </si>
  <si>
    <t>2.10.</t>
  </si>
  <si>
    <t>сокращение штатных единиц: старший методист (1 ед.)</t>
  </si>
  <si>
    <t>Соблюдение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t>
  </si>
  <si>
    <t>Соблюдение норм расхода горюче-смазочных материалов для муниципальных учреждений</t>
  </si>
  <si>
    <t>Постановление Администрации Кондопожского муниципального района от   29 сентября 2017 г.  №  689 "Об утверждение норм расхода горюче-смазочных материалов для муниципальных учреждений Кондопожского муниципального района"</t>
  </si>
  <si>
    <t>Мониторинг соблюдения установленных лимитов потребления электрической и тепловой энергии, водоснабжения, водоотведения по  муниципальным учреждениям</t>
  </si>
  <si>
    <t>Постановление Администрации Кондопожского муниципального района от 31 августа 2017 г.  №  623 "Об утверждение лимитов потребления электрической и тепловой энергии, водоснабжения, водоотведения по  муниципальным учреждениям, финансируемым из бюджета Кондопожского муниципального района, на 2018 -2020 года"</t>
  </si>
  <si>
    <t xml:space="preserve">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t>
  </si>
  <si>
    <t>Постановлением Администрации Кондопожского муниципального района от  06 октября 2016 г.  №  601, Распоряжением от  06 октября 2016 года № 355-р "Об утверждении значений нормативов затрат на оказание муниципальных услуг"</t>
  </si>
  <si>
    <t xml:space="preserve">Сохранение действующего режима функционирования (10,5 час) </t>
  </si>
  <si>
    <t>Постановлением Администрации Кондопожского муниципального района от от 27 мая  2015 г.  №  616 "Об утверждении положения об организации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Кондопожского муниципального района"</t>
  </si>
  <si>
    <t>Мониторинг соблюдение  лимитов потребления коммунальных ресурсов учреждениями</t>
  </si>
  <si>
    <t>Расширение рынка платых услуг с целью увеличения объемов доходов от платных услуг, сокращение объема бюджетных расходов с переложением расходов на полученные муниципальными учреждениями доходы от платной деятельности в том числе:</t>
  </si>
  <si>
    <t>тыс.руб.</t>
  </si>
  <si>
    <t>3.6.3.</t>
  </si>
  <si>
    <t>Результат, проводимых мероприятий</t>
  </si>
  <si>
    <t xml:space="preserve"> Выплата налогоплательщиками задолженности по НДФЛ и страховым взносам, увеличение  заработной платы до уровня, установленного Соглашением о минимальной заработной плате в Республике Карелия</t>
  </si>
  <si>
    <t xml:space="preserve"> Полнота и своевременность выплаты  заработной платы налогоплательщиками</t>
  </si>
  <si>
    <t xml:space="preserve">Увеличение уровня заработной платы наемных работников  </t>
  </si>
  <si>
    <t>Использование ранее неучтенных площадей зданий, помещений, сооружений; установление (уточнение ареса места нахождения зданий, помещений, сооружений; установление правообладателей зданий, помещений, сооружений для реализации и сдачи в аренду</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</si>
  <si>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</si>
  <si>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Отмена неэффективных льгот</t>
  </si>
  <si>
    <t xml:space="preserve">Снижение количества налогоплательщиков, несвоевременно выплачивающих заработную плату в  и выплачивающих заработную плату внеполном объеме., </t>
  </si>
  <si>
    <t>Мониторинг количества налогоплательщиков,  осуществляющих выплату заработной платы ниже размера, установленного Соглашением о минимальной заработной плате в Республике Карелия;
 имеющих признаки неформальной занятости и (или) осуществляющих выплату неофициальной заработной платы;
имеющих значительные суммы налогового разрыва по страховым взносам и НДФЛ, имеющих задолженность по НДФЛ и страховым взносам</t>
  </si>
  <si>
    <t>Погашение задолженности</t>
  </si>
  <si>
    <t>Увеличение коэффициента базовой доходности при расчете единого налога на вмененный доход</t>
  </si>
  <si>
    <t>Вовлечение в налоговый оборот объектов недвижимости</t>
  </si>
  <si>
    <t>Вовлечение в налоговый оборот земельных участков</t>
  </si>
  <si>
    <t>Выявление нерационально и неэффективно используемых земельных участков</t>
  </si>
  <si>
    <t>Проведение оценки эффективности налоговых льгот</t>
  </si>
  <si>
    <t>Увеличение поступления налога на имущество физических лиц, исходя из кадастровой стоимости</t>
  </si>
  <si>
    <t>Мониторинг поступления налога на имущество физических лиц, исходя из кадастровой стоимости</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</si>
  <si>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Кондопожского муниципального района</t>
  </si>
  <si>
    <t>Мониторинг ставок, сложившихся исходя из рыночной стоимости аренды имущества, при сдаче в аренду коммерческой недвижимости иными собственниками на территории Кондопожского муниципального района</t>
  </si>
  <si>
    <t>Количество выявленного неиспользуемого имущества, привлеченного в хозяйственный оборот</t>
  </si>
  <si>
    <t>Мониторинг количества проведенных торгов по продаже права заключения договоров аренды муниципального имущества, находящихся в муниципальной собственности</t>
  </si>
  <si>
    <t>Снижение задолжености по арендной плате за земельные участки и имущество, находящееся в муниципальной собственности</t>
  </si>
  <si>
    <t>Количество проведенных заседаний Комиссии</t>
  </si>
  <si>
    <t>Увеличение юридических лиц и индивидуальных предпринимателей, зарегистрированных в качестве плательщиков платы за негативное воздействие на окружающую среду</t>
  </si>
  <si>
    <t xml:space="preserve"> Выполнение главными администраторами доходов бюджета муниципального образования утвержденных прогнозных показателей по администрируемым ими доходам</t>
  </si>
  <si>
    <t>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t>
  </si>
  <si>
    <t>Проведение мониторинга выполнения главными администраторами доходов утвержденных прогнозных показателей по администрируемым ими доходам</t>
  </si>
  <si>
    <t>Увеличение доходной части бюджета Кондопожского муниципального района</t>
  </si>
  <si>
    <t>Увеличение количества зарегистрированных предпринимателей в Кондопожском муниципальном районе  за счет предоставляемых мер поддержки</t>
  </si>
  <si>
    <t>Увеличение доходов от самообложения граждан и безвозмездных поступлений от физических и юридических лиц</t>
  </si>
  <si>
    <t>Мониторинг источников доходов</t>
  </si>
  <si>
    <t>Отдел экономики, финансовое управление Администрации Кондопожского района, Главы поселений</t>
  </si>
  <si>
    <t>Увеличение численности обучающихся (воспитанников) в дошкольном образовании расчете на на 1 педагогического работника</t>
  </si>
  <si>
    <t xml:space="preserve">Увеличение численности обучающихся (воспитанников) в общеобразовательных организаций в расчете на на 1 педагогического работника </t>
  </si>
  <si>
    <t xml:space="preserve">Увеличение численности обучающихся (воспитанников) в   организациях дополнительного образования в расчете на на 1 педагогического работника </t>
  </si>
  <si>
    <t xml:space="preserve">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      </t>
  </si>
  <si>
    <t>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t>
  </si>
  <si>
    <t>утверждение норм расхода горюче-смазочных материалов для муниципальных учреждений Кондопожского муниципального района</t>
  </si>
  <si>
    <t>утверждение лимитов потребления электрической и тепловой энергии, водоснабжения, водоотведения по  муниципальным учреждениям, финансируемым из бюджета Кондопожского муниципального района</t>
  </si>
  <si>
    <t>2.5.9.</t>
  </si>
  <si>
    <t>МАУ "Центр культуры и досуга Кондопожского городского поселения"</t>
  </si>
  <si>
    <t>2.9.</t>
  </si>
  <si>
    <t>2.9.1.</t>
  </si>
  <si>
    <t>2.11.1.</t>
  </si>
  <si>
    <t>2.11.2.</t>
  </si>
  <si>
    <t>2.11.3.</t>
  </si>
  <si>
    <t>Отдел образования Администрации КМР, ГРБС – МУ «ЦБСОО», МДОУ № 20 "Колосок"</t>
  </si>
  <si>
    <t xml:space="preserve">Бюджетный эффект </t>
  </si>
  <si>
    <t>Передача полномочий администрации Кондопожского городского поселения Администрации Кондопожского муниципального района</t>
  </si>
  <si>
    <t xml:space="preserve">Объединение Курортного и Петровского сельских поселений </t>
  </si>
  <si>
    <t>Проведение организационной работы по объединению поселений</t>
  </si>
  <si>
    <t>Сокращение штатных единиц</t>
  </si>
  <si>
    <t>Подготовка предложений по формированию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</si>
  <si>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Наличие предложений по формированию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</si>
  <si>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Наличие соответствующей нормы Решения Совета Кондопожского муниципального района</t>
  </si>
  <si>
    <t>Сокращение штатной численности</t>
  </si>
  <si>
    <t>Ответственный исполнитель/ ГРБС, соисполнитель</t>
  </si>
  <si>
    <t>Передача другим учреждениям</t>
  </si>
  <si>
    <t>2018-2020</t>
  </si>
  <si>
    <t>Взаимодействие структурных подразделений Администрации Кондопожского муниципального района</t>
  </si>
  <si>
    <t>Отдел образования, отдел экономики, финансовое управление Администрации Кондопожского района</t>
  </si>
  <si>
    <t xml:space="preserve"> ГРБС – МУ «ЦБСОО»,  МДОУ № 20 "Колосок"</t>
  </si>
  <si>
    <t>Отдел экономики, финансовое управление Администрации КМР; ГРБС – 
МУ «ЦБСОО»; МДОУ № 20 "Колосок"</t>
  </si>
  <si>
    <t>Отдел экономики, финансовое управление Администрации КМР; ГРБС – 
МУ «ЦБСОО»;  МДОУ № 20 "Колосок"</t>
  </si>
  <si>
    <t xml:space="preserve">в учреждениях дополнительного образования детей в соответствии с целевыми показателями повышения эффективности оказания услуг, установленных "дорожными картами" (рост значений показателя количества получателей услуг, приходящихся на численность работников основного персонала учреждений)
</t>
  </si>
  <si>
    <t xml:space="preserve">в общеобразовательных учреждениях в соответствии с целевыми показателями повышения эффективности оказания услуг, установленных "дорожными картами" (рост значений показателя количества получателей услуг, приходящихся на численность работников основного персонала учреждений)
</t>
  </si>
  <si>
    <t xml:space="preserve">в дошкольных образовательных учреждениях в соответствии с целевыми показателями повышения эффективности оказания услуг, установленных "дорожными картами" (рост значений показателя количества получателей услуг, приходящихся на численность работников основного персонала учреждений)
</t>
  </si>
  <si>
    <t xml:space="preserve">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(рост значений показателя количества получателей услуг, приходящихся на численность работников основного персонала учреждений),  в том числе:
</t>
  </si>
  <si>
    <t>Отдел образования Администрации Кондопожского муниципального района; ГРБС - МУ "ЦБСОО"</t>
  </si>
  <si>
    <t>Отдел образования, отдел социальной политики Администрации Кондопожского муниципального района</t>
  </si>
  <si>
    <t>Взаимодействие со структурными подразделениями Администрации Кондопожского муниципального района, координирующими деятельность муниципальных учреждений, допустивших прирост расходов на оплату труда отдельных категорий работников, в том числе превышение целевых показателей заработной платы; мониторинг  целевых значений средней заработной платы</t>
  </si>
  <si>
    <t>Проведение мероприятий по эффективному расходованию средств на оплату труда работников учреждений за счет сокращения внутреннего совмещения</t>
  </si>
  <si>
    <t>Отдел экономики, финансовое управление Администрации КМР; ГРБС – 
МУ «ЦБСОО»</t>
  </si>
  <si>
    <t>Уменьшение внутреннего совмещения</t>
  </si>
  <si>
    <t>Проведение анализа штатных расписаний муниципальных учреждений и выработка предложений по ее оптимизации</t>
  </si>
  <si>
    <t>Установление ограничений   по принятию решений приводящих к увеличению общей численности работников муниципальных учреждений</t>
  </si>
  <si>
    <t>Постановление Администрации Кондопожского муниципального района от  05 марта 2018 г.  №  150 "Об утверждении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t>
  </si>
  <si>
    <t>Отдел образования Администрации КМР</t>
  </si>
  <si>
    <t>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</si>
  <si>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Совершенствование системы закупок на обеспечение функций органов местного самоуправления, муниципальных учреждений</t>
  </si>
  <si>
    <t xml:space="preserve">Принятие мер технического характера по снижению объемов потребления коммунальных ресурсов учреждениями </t>
  </si>
  <si>
    <t xml:space="preserve"> Достоверность сметной стоимости строительства, реконструкции, капитального ремонта объектов капитального строительства</t>
  </si>
  <si>
    <t>Привлечение дополнительных средств</t>
  </si>
  <si>
    <t>установление дополнительных образовательных услуг</t>
  </si>
  <si>
    <t>Установление дополнительных тарифов  с 01.09.2017 года</t>
  </si>
  <si>
    <t>расширение рынка платных услуг с целью увеличения объемов доходов от платных услуг, оказываемых учреждениями культуры</t>
  </si>
  <si>
    <t>расширение рынка платных услуг с целью увеличения объемов доходов от платных услуг, оказываемых учреждениями социального обслуживания</t>
  </si>
  <si>
    <t xml:space="preserve">оптимизация расходов на оплату труда работников учреждений за счет сокращения вакантных ставок </t>
  </si>
  <si>
    <t xml:space="preserve">сокращение неэффективных расходов  обслуживающего персонала в общеобразовательных учреждениях, расположенных в сельской местности </t>
  </si>
  <si>
    <t>сокращение штатных единиц  обслуживающего персонала (с 01.08.2018 г.)</t>
  </si>
  <si>
    <t>сокращение штатных единиц в МДОУ № 20 "Колосок" в корпусах № 3,9: старший методист  (0,5 ед.), муз. руководитель (0,5 ед.), мл. воспитатель (0,12 ед.)</t>
  </si>
  <si>
    <t>сокращение штатных единиц в  МДОУ № 20 "Колосок": воспитатель  (5,7 ед.)</t>
  </si>
  <si>
    <t>сокращение штатных единиц в МДОУ № 20 "Колосок" корпус N 8; учитель-логопед (1 ед.), муз. руководитель (0,25 ед.), инструктор по физ. Культуре и спорту (0,25 ед.), учитель-дефектолог (1 ед.)</t>
  </si>
  <si>
    <t>сокращение штатных единиц в МУ ДО "Детская школа искусств" (с 01.06.2018 г.):зав. хозяйством (0,25 ед.), секретарь-машинистка (0,25 ед.)</t>
  </si>
  <si>
    <t>сокращение штатных единиц в МУ ДО "ДЮСШ №2" (с 01.06.2018 г.): секретарь руководителя (0,5 ед.), лаборант (0,5 ед.), гардеробщик (1 ед.), уборщик служ.помещ (3,5 ед.), сторож (0,5 ед.), рабочий по комплексн. обслуж и ремонту зданий (1 ед..)</t>
  </si>
  <si>
    <t>организация работы по нормированию труда  в дошкольных образовательных учреждениях</t>
  </si>
  <si>
    <t>организация работы по нормированию труда в административно-хозяйственном управлении</t>
  </si>
  <si>
    <t xml:space="preserve"> работников административно-управленческого персонала в учреждениях дополнительного образования</t>
  </si>
  <si>
    <t xml:space="preserve"> сокращение штатных единиц  в МУ ДО "ДТДиЮ" ( с 01.06.2018 г.): заведующий отделом (2 ед.)</t>
  </si>
  <si>
    <t xml:space="preserve"> работников административно-управленческого персонала в дошкольных образовательных учреждениях </t>
  </si>
  <si>
    <t>сокращение штатных единиц в МДОУ № 20 "Колосок" ( с 01.09.2018 г.)заместителя директора (1 ед.)</t>
  </si>
  <si>
    <t>работников административно-управленческого персонала в общеобразовательных учреждениях, за исключением учреждений, расположенных в сельской местности</t>
  </si>
  <si>
    <t>сокращение штатных единиц  (с 01.09.2018 г.): заместителя директора (6 ед.)</t>
  </si>
  <si>
    <t>нет</t>
  </si>
  <si>
    <t xml:space="preserve">оптимизация и эффективность охранного процесса общеобразовательных учреждений, а также применение систем видеонаблюдения </t>
  </si>
  <si>
    <t xml:space="preserve">оптимизация и эффективность охранного процесса дошкольных образовательных учреждений, а также применение систем видеонаблюдения </t>
  </si>
  <si>
    <t>сокращение штатных единиц, сокращение 2 групп, в виду закрытия корпуса "Вишенка" с 01.07.2017 года в МДОУ № 20 "Колосок":  воспитатель (3,2 ед.), музыкальный руководитель (0,5 ед.), мл. воспитатель (3 ед.), ст. медсестра (1 ед.)</t>
  </si>
  <si>
    <t xml:space="preserve">изменение вида существующего образовательного учреждения на учреждение физической культуры и спорта </t>
  </si>
  <si>
    <t>изменение типа существующего бюджетного учреждения в целях создания казенного учреждения</t>
  </si>
  <si>
    <t>Сокращение объема бюджетных расходов, привлечение платных услуг бюджетного учреждения Сунская ОШ с 01.01.2018 года</t>
  </si>
  <si>
    <t>Механизм реализации/целевой показатель</t>
  </si>
  <si>
    <t>Установление ограничений на использование экономии, образующейся в связи с наличием вакансий в учреждениях, в том числе:</t>
  </si>
  <si>
    <t xml:space="preserve">Приложение 1 
к Программе оздоровления муниципальных финансов Кондопожского  муниципального района на 
  2018-2020 годы, утвержденная Распоряжением Администрации Кондопожского муниципального                                          района   N 112-р от 28.03.2018 года
</t>
  </si>
  <si>
    <t>сокращение штатных единиц в  МДОУ № 20 "Колосок" ( с 01.02.2018 г.): старший методист (0,75 ед.)</t>
  </si>
  <si>
    <t>сокращение штатных единиц в " в корпусах 2,9,11 МДОУ № 20 "Колосок: сторож (16 ед.)</t>
  </si>
  <si>
    <t>Оптимизация объемов финансового обеспечения деятельности органов местного самоуправления</t>
  </si>
  <si>
    <t>Снижение процентных ставок по действующим кредитам</t>
  </si>
  <si>
    <t>Снижение муниципального долга</t>
  </si>
  <si>
    <t xml:space="preserve">Привлечение краткосрочных бюджетных кредитов </t>
  </si>
  <si>
    <t>Управление ликвидностью единого счета бюджет</t>
  </si>
  <si>
    <t>Администрации поселений, финансовое управление Администрации Кондопожского муниципального района, Межрайонная  ИФНС России № 9 по РК</t>
  </si>
  <si>
    <t>Отдел образования Администрации КМР, ГРБС – МУ «ЦБСОО», СШОР</t>
  </si>
  <si>
    <t>Отдел образования Администрации КМР, ГРБС – МУ «ЦБСОО», МКУ "Административно-хозяйственное управление"</t>
  </si>
  <si>
    <t>Отдел образования Администрации КМР, ГРБС – МУ «ЦБСОО»,  МКУ "Административно-хозяйственное управление"</t>
  </si>
  <si>
    <t xml:space="preserve">Отдел бухгалтерского учета Администрация КМР; ГРБС – 
МУ «ЦБСОО», Администрация КМР;   МКУ "Административно-хозяйственное управление", Администрация КМР
</t>
  </si>
  <si>
    <t>ГРБС – 
МУ «ЦБСОО»,  МОУ ДО "ДТДиЮ"</t>
  </si>
  <si>
    <t>Отдел экономики, финансовое управление Администрации КМР; ГРБС – 
МУ «ЦБСОО»;  МКУ "Административно-хозяйственное управление"</t>
  </si>
  <si>
    <t>Отдел экономики, финансовое управление Администрации КМР; ГРБС – 
МУ «ЦБСОО»; МОУ ДО "ДТДиЮ"</t>
  </si>
  <si>
    <t>Отдел экономики, финансовое управление Администрации КМР; ГРБС – 
МУ «ЦБСОО»; МОУ ДО ДЮСШ № 2</t>
  </si>
  <si>
    <t>Отдел экономики, финансовое управление Администрации КМР; ГРБС – 
МУ «ЦБСОО»;  МОУ ДО "Детская школа искусств"</t>
  </si>
  <si>
    <t>Отдел экономики, финансовое управление Администрации КМР; ГРБС – 
МУ «ЦБСОО»; МОУ Кончезерская СОШ, МОУ Кедрозерская ОШ, МОУ Кяпесельгская ОШ, МОУ Березовская НОШ, МОУ ГСОШ, МОУ Спасогубская общеобразовательная школа, МОУ Сунская ОШ</t>
  </si>
  <si>
    <t xml:space="preserve">Отдел образования Администрации КМР; ГРБС – 
МУ «ЦБСОО»; МОУ ДО "ДТДиЮ", 
</t>
  </si>
  <si>
    <t xml:space="preserve"> Отдел экономики, финансовое управление Администрации КМР,  МУК « Кондопожский музей»
</t>
  </si>
  <si>
    <t>Отдел образования, ГРБС – МУ «ЦБСОО», МОУ ДО "Детская школа искусств"</t>
  </si>
  <si>
    <t>Отдел образования Администрации КМР, ГРБС – МУ «ЦБСОО», МОУ Сунская ОШ</t>
  </si>
  <si>
    <t xml:space="preserve"> ГРБС – МУ «ЦБСОО»; МОУ СОШ № 1, "МОУ СОШ №2", МОУ СОШ №3 г.Кондопоги РК, МОУ Средняя общеобразовательная школа №6 г. Кондопоги РК, МОУ СОШ №7, МОУ СОШ №8 г.Кондопоги РК</t>
  </si>
  <si>
    <t>Отдел  экономики Администрации КМР; ГРБС – 
МУ «ЦБСОО»;образовательные учреждения, учреждения культуры, ККЦСОН "Забота", СШОР,  МКУ "Административно-хозяйственное управление"</t>
  </si>
  <si>
    <t xml:space="preserve"> ГРБС – 
МУ «ЦБСОО», Администрация Кондопожского муниципального района, КСО; образовательные учреждения, учреждения культуры, ККЦСОН "Забота", СШОР,  МКУ "Административно-хозяйственное управление", Администрация Кондопожского муниципального района, КСО
</t>
  </si>
  <si>
    <t>Совет КМР,  ГРБС – МУ "ЦБСОО»,Администрация Кондопожского муниципального района, КСО; образовательные учреждения, учреждения культуры, ККЦСОН "Забота", СШОР,  МКУ "Административно-хозяйственное управление"</t>
  </si>
  <si>
    <t>Отдел социальной политики Администрации КМР;ГРБС – Администрация Кондопожского муниципального района; ККЦСОН "Забота"</t>
  </si>
  <si>
    <t xml:space="preserve">сокращение неэффективных расходов на содержание  педагогического персонала  в дошкольных образовательных учреждениях, в виду объединения групп </t>
  </si>
  <si>
    <t>сокращение неэффективных расходов   на содержание обслуживающего и вспомогательного персонала  в дошкольных образовательных учреждениях, в целях единообразного подхода при определении нормативной численности</t>
  </si>
  <si>
    <t xml:space="preserve">сокращение неэффективных расходов на содержание педагогического персонала в дошкольных образовательных учреждениях </t>
  </si>
  <si>
    <t xml:space="preserve">Отдел  экономики Администрации КМР; ГРБС – 
МУ «ЦБСОО», Администрации КМР;  образовательные учреждения, учреждения культуры, ККЦСОН "Забота", СШОР,  МКУ "Административно-хозяйственное управление"
</t>
  </si>
  <si>
    <t xml:space="preserve"> ГРБС – 
МУ «ЦБСОО», Администрация Кондопожского муниципального района ; образовательные учреждения, учреждения культуры, ККЦСОН "Забота", СШОР,  МКУ "Административно-хозяйственное управление"
</t>
  </si>
  <si>
    <t>в т.ч. МБТ</t>
  </si>
  <si>
    <t>обеспечение формирования количества групп дошкольных образовательных учреждений в соответствии с контингентом обучающихся</t>
  </si>
  <si>
    <t>сокращение неэффективных расходов  на содержание обслуживающего и вспомогательного персонала в учреждениях дополнительного образования</t>
  </si>
  <si>
    <t>Утверждение порядка компенсации работникам расходов на оплату стоимости проезда к месту использования отдыха и обратно</t>
  </si>
  <si>
    <t>Соблюдение порядка компенсации работникам расходов на оплату стоимости проезда к месту использования отдыха и обратно</t>
  </si>
  <si>
    <t>Установление нормативов на административно-управленческий персонал в том числе:</t>
  </si>
  <si>
    <t>Наличие установленных нормативов АУП по численности и заработной плате</t>
  </si>
  <si>
    <t xml:space="preserve">Отдел  экономики Администрации КМР; ГРБС – 
МУ «ЦБСОО»;образовательные учреждения, учреждения культуры, ККЦСОН "Забота", СШОР,  МКУ "Административно-хозяйственное управление", Администрация Кондопожского муниципального района
</t>
  </si>
  <si>
    <t>Соблюдение целей, условий, критериев отбора и порядка предоставления субсидий</t>
  </si>
  <si>
    <t>Эффективное предоставление субсидий</t>
  </si>
  <si>
    <t>Проведение разъяснительной работы с населением, проведение претензионно-исковой работы</t>
  </si>
  <si>
    <t>Рост поступлений от реализации имущества за счет проведения претензионно-исковой работы</t>
  </si>
  <si>
    <t xml:space="preserve">7. </t>
  </si>
  <si>
    <t>Создание новых рабочих мест за счет присвоения статуса  территории опережающего социально-экономического развития «Кондопога»</t>
  </si>
  <si>
    <t>2019-2020 годы</t>
  </si>
  <si>
    <t>Увеличение поступлений в бюджет за счет привлечения новых источников</t>
  </si>
  <si>
    <t>Вновь созданные рабочие места</t>
  </si>
  <si>
    <t>рабочее место</t>
  </si>
  <si>
    <t xml:space="preserve">Администрация Кондопожского муниципального района
</t>
  </si>
  <si>
    <t>Открытие новых предприятий на территории ТОСЭР "Кондопога"</t>
  </si>
  <si>
    <t>Отдел экономики  Администрации Кондопожского района</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</si>
  <si>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 в связи с проведением закупок конкурентными способами)</t>
  </si>
  <si>
    <t>Административная комиссия Кондопожского муниципального района</t>
  </si>
  <si>
    <t>Анализ результатов деятельности административных комиссий, межведомственное взаимодействие с органами внутренних дел</t>
  </si>
  <si>
    <t xml:space="preserve">Развитие предпринимательства в Кондопожском муниципальном районе </t>
  </si>
  <si>
    <t>Решение Совета Кондопожского муниципального района от 31 мая 2017 года № 2 "Об утверждении Положения о порядке компенсации расходов на оплату стоимости проезда и провоза багажа к месту использования отпуска и обратно для лиц, работающих в муниципальных учреждениях, органах местного самоуправления, финансируемых из бюджета Кондопожского муниципального района расположенных в районах Крайнего Севера и приравненных к ним местностях, и членов их семей"</t>
  </si>
  <si>
    <t xml:space="preserve">Уменьшение численности педагогических работников СШОР с 01.09.2017 г, которым производится повышение заработной платы в целях достижения установленного целевого значения средней заработной платы "указных" категорий </t>
  </si>
  <si>
    <t>сокращение штатных единиц в здании МОУ СОШ № 1: сторож (3 ед.)</t>
  </si>
  <si>
    <t>сокращение штатных единиц  в МКУ "Административно-хозяйственное управление": рабочий по стирке и ремонту спец. одежды (2,82 ед.)</t>
  </si>
  <si>
    <r>
      <t xml:space="preserve">сокращение штатных единиц в  МУ ДО "ДТДиЮ" (с 01.06.2018 г.): сторож (2,5 ед.), уборщик служ.пом (3 ед), </t>
    </r>
    <r>
      <rPr>
        <b/>
        <sz val="18"/>
        <rFont val="Times New Roman"/>
        <family val="1"/>
        <charset val="204"/>
      </rPr>
      <t>гардеробщик</t>
    </r>
    <r>
      <rPr>
        <sz val="18"/>
        <rFont val="Times New Roman"/>
        <family val="1"/>
        <charset val="204"/>
      </rPr>
      <t xml:space="preserve"> (0,5 ед), специалист по кадрам (0,5 ед.), секретарь-стенограф. (0,5 ед.), инженер-энергетик (0,25 ед.)</t>
    </r>
  </si>
  <si>
    <t>Мероприятие</t>
  </si>
  <si>
    <t>местный бюджет</t>
  </si>
  <si>
    <t>межбюджетные трансферты</t>
  </si>
  <si>
    <t>Период</t>
  </si>
  <si>
    <t>всего, в том числе</t>
  </si>
  <si>
    <t>2014 год</t>
  </si>
  <si>
    <t>2016 год</t>
  </si>
  <si>
    <t>7.</t>
  </si>
  <si>
    <t>8.</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</si>
  <si>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(в том числе в рамках реализации программы ТОС)</t>
  </si>
  <si>
    <t>Механизм реализации</t>
  </si>
  <si>
    <t xml:space="preserve">Мониторинг налогоплательщиков, имеющих  задолженность по НДФЛ и страховым взносам,  имеющих признаки неформальной занятости и (или) осуществляющих выплату неофициальной заработной платы для рассмотрение на  Межведомственной комиссии по мобилизации дополнительных налоговых и неналоговых доходов </t>
  </si>
  <si>
    <t>Проведение заседаний Комиссии</t>
  </si>
  <si>
    <t>Соблюдение установленных лимитов потребления электрической и тепловой энергии, водоснабжения, водоотведения по  муниципальным учреждениям</t>
  </si>
  <si>
    <t xml:space="preserve">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налоговый оборот
</t>
  </si>
  <si>
    <t>Снижение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</si>
  <si>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</si>
  <si>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t>
  </si>
  <si>
    <t>2.3.1.</t>
  </si>
  <si>
    <t>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по сравнению с отчетным финансовым годом по указанным показателям в сопоставимых условиях</t>
  </si>
  <si>
    <t xml:space="preserve"> Администрация Кондопожского муниципального района</t>
  </si>
  <si>
    <t>2.1.4.</t>
  </si>
  <si>
    <t>2021 год</t>
  </si>
  <si>
    <t>2022 год</t>
  </si>
  <si>
    <t>2023 год</t>
  </si>
  <si>
    <t>2024 год</t>
  </si>
  <si>
    <t>2018-2024 годы</t>
  </si>
  <si>
    <t>2019-2024 годы</t>
  </si>
  <si>
    <t>количество вовлеченных в налоговый оборот земельных участков</t>
  </si>
  <si>
    <t>Проведение работы по вовлечению в налоговый оборот земельных участков</t>
  </si>
  <si>
    <t>Количество предъявленных претензий, исков</t>
  </si>
  <si>
    <t xml:space="preserve">Проведение претензионно-исковой работы работы </t>
  </si>
  <si>
    <t>2.1.5</t>
  </si>
  <si>
    <t>Сокращение обслуживающего персонала (сторож- 3 шт ед.) с 16.09.2019</t>
  </si>
  <si>
    <t>сокращение штатных единиц основного, учебно-вспомогательного и обслуживающего персонала с 01.09.2019</t>
  </si>
  <si>
    <t>Реорганизация образовательных учреждений путем присоединения МОУ Березовская НОШ к МОУ средняя общеобразовательная школа  № 6 г. Кондопоги РК</t>
  </si>
  <si>
    <t>Реорганизация образовательных учреждений путем присоединения МОУ Кедрозерская ОШ к МОУ СОШ № 7</t>
  </si>
  <si>
    <t>сокращение штатных единиц в здании МОУ СОШ № 2,6,7: сторож (6 ед.) с 01.10.2019</t>
  </si>
  <si>
    <t>сокращение штатных единиц в здании МОУ СОШ № 3: сторож (2 ед.) с 01.12.2019</t>
  </si>
  <si>
    <t>Увеличение числа посетителей на платной основе в МУ "КЦРБ" (модельная библиотека п. Янишполе)</t>
  </si>
  <si>
    <t>Отдел образования, РБС – МУ «ЦБСОО», МУ "КЦРБ"</t>
  </si>
  <si>
    <t xml:space="preserve"> Администрация КМР, РБС – МУ «ЦБСОО», ШОР</t>
  </si>
  <si>
    <t>Оптимизация штатной численности по МДОУ № 20 "Колосок"</t>
  </si>
  <si>
    <t xml:space="preserve">Администрация Кондопожского муниципального района, Отдел экономики
</t>
  </si>
  <si>
    <t>Отдел градостроительной деятельности иземльных отношений Администрации Кондопожского муниципального района</t>
  </si>
  <si>
    <t>Отдел  муниципальной собственности Администрации Кондопожского муниципального района</t>
  </si>
  <si>
    <t>Отдел муниципальной собственности Администрации Кондопожского муниципального района</t>
  </si>
  <si>
    <t>2.2.2</t>
  </si>
  <si>
    <t>Отдел экономики, финансовое управление Администрации КМР; РБС – 
МУ «ЦБСОО»</t>
  </si>
  <si>
    <t>Отдел  экономики Администрации КМР; РБС – 
МУ «ЦБСОО»;образовательные учреждения, учреждения культуры, ККЦСОН "Забота", СШОР,  МКУ "Административно-хозяйственное управление"</t>
  </si>
  <si>
    <t xml:space="preserve">Отдел  экономики Администрации КМР; РБС – 
МУ «ЦБСОО», Администрации КМР;  образовательные учреждения, учреждения культуры, ККЦСОН "Забота", СШОР,  МКУ "Административно-хозяйственное управление"
</t>
  </si>
  <si>
    <t xml:space="preserve"> РБС – МУ «ЦБСОО», Администрация Кондопожского муниципального района; образовательные учреждения, учреждения культуры, ККЦСОН "Забота", СШОР,  МКУ "Административно-хозяйственное управление"
</t>
  </si>
  <si>
    <t>Совет КМР,  РБС – МУ "ЦБСОО»,Администрация Кондопожского муниципального района, КСО; образовательные учреждения, учреждения культуры, ККЦСОН "Забота", СШОР,  МКУ "Административно-хозяйственное управление"</t>
  </si>
  <si>
    <t>Отдел социальной политики Администрации КМР;РБС – Администрация Кондопожского муниципального района; ККЦСОН "Забота"</t>
  </si>
  <si>
    <t>Снижение количества налогоплательщиков, несвоевременно выплачивающих заработную плату в  и выплачивающих заработную плату вне полном объеме.</t>
  </si>
  <si>
    <t>Отмена неэффективных налоговых льгот</t>
  </si>
  <si>
    <t>Администрация Кондопожского муниципального района</t>
  </si>
  <si>
    <t>Бюджетный эффект от освобождения помещений</t>
  </si>
  <si>
    <t>Эффективное использование государственного и муниципального имущества (изъятие из оперативного управления МОУ Гирвасская СОШ им. Героя Советского Союза А.Н. Афанасьева здания детского сада)</t>
  </si>
  <si>
    <t>Администрация Кондопожского муниципального района, РБС</t>
  </si>
  <si>
    <t>Администрации Кондопожского муниципального района, Отдел экономики, Финансовое управление</t>
  </si>
  <si>
    <t>Мониторинг поступления налога на имущество физических лиц, исходя из кадастровой стоимости по сравнению с предыдущим периодом</t>
  </si>
  <si>
    <t>Реализация имущества сверх прогнозных показателей</t>
  </si>
  <si>
    <t>Увеличение поступления доходов от платы за наем жилых помещений</t>
  </si>
  <si>
    <t>3.7.</t>
  </si>
  <si>
    <t>3.8.</t>
  </si>
  <si>
    <t>Оптимизация расходов бюджета Кондопожского муниципального района по осуществлению расходных обязательств, софинансируемых из федерального бюджета</t>
  </si>
  <si>
    <t>Привлечение дополнительных финансовых средств из федерального бюджета на реализацию национальных проектов</t>
  </si>
  <si>
    <t>достижение показателей, установленных в национальных проектах</t>
  </si>
  <si>
    <t>-</t>
  </si>
  <si>
    <t>Мероприятия по сокращению (предупреждению образования) просроченной дебиторской и просроченной кредиторской задолженности консалидированного бюджета Кондопожского муниципального района</t>
  </si>
  <si>
    <t>Анализ состояния просроченной дебиторской и просроченной задолженности</t>
  </si>
  <si>
    <t>Администрация Кондопожского муниципального района, КСО, МУ "ЦБСОО", учреждения образования, культуры и физкультуры, Администрации поселений</t>
  </si>
  <si>
    <t>инвентаризация дебиторской и кредиторской задолженности</t>
  </si>
  <si>
    <t>подготовка предложений по снижению (отсутствию) задолженности</t>
  </si>
  <si>
    <t>Мероприятия, направленные на сокращение просроченной дебиторской и просроченной кредиторской задолженности бюджета Кондопожского муниципального района</t>
  </si>
  <si>
    <t>%</t>
  </si>
  <si>
    <t>не менее чем на 10</t>
  </si>
  <si>
    <t>снижение объема просроченной дебиторской задолженности по сравнению с уровнем предыдущего года</t>
  </si>
  <si>
    <t>Реализация плана погашения дебиторской задолженности</t>
  </si>
  <si>
    <t>принятие мер, обеспечивающих снижение просроченной кредиторской задолженности ( план погашения просроченной кредиторской задолженности)</t>
  </si>
  <si>
    <t>снижение (отсутствие) просроченной кредиторской задолженности</t>
  </si>
  <si>
    <t>Финансовое управление, отдел экономики, отдел ЖКХ Администрации Кондопожского района, Главы поселений</t>
  </si>
  <si>
    <t>заседаний</t>
  </si>
  <si>
    <t xml:space="preserve"> разделение численности по  учреждению культуры на казенные учреждения: культуры и физкультуры,  в связи с созданием нового казенного учреждения  МУ "Физкультурно-оздоровительный комплекс"</t>
  </si>
  <si>
    <t>Администрация КМР,  МУ "Центр культуры и досуга Кондопожского городского поселения"</t>
  </si>
  <si>
    <t xml:space="preserve">Уменьшение численности  работников культуры МУ "Центр культуры и досуга Кондопожского городского поселения" с 01.07.2019 г, которым производится повышение заработной платы в целях достижения установленного целевого значения средней заработной платы "указных" категорий </t>
  </si>
  <si>
    <t>Оптимизация штатной численности с 01.08.2019 (+1 шт.ед зам. директора, -1,55 шт.ед. по должности "учитель", -1,5 шт. ед по должности "сторож"), с 26.08.2019 ( -1 шт. ед по должности "директор")</t>
  </si>
  <si>
    <t>Оптимизация штатной численности с 01.08.2019 (+0,5 шт.ед зам. директора, -1,99 шт.ед. по должности "учитель", +0,5 шт. ед. по должности "учитель-логопед", -0,25 шт. ед. по должности "младший воспитатель"), с 27.08.2019 ( -1 шт. ед по должности "директор")</t>
  </si>
  <si>
    <t>2019-2024 год</t>
  </si>
  <si>
    <t>2019-2024  год</t>
  </si>
  <si>
    <t>2019-2024</t>
  </si>
  <si>
    <t>Финансовое управление Администрации Кондопожского муниципального района, Администрации сельских поселений</t>
  </si>
  <si>
    <t>Проведение оценки эффективности налоговых льгот ( с 2020 года - налоговых расходов) по единому налогу на вмененный доход и устранение неэффективных налоговых льгот</t>
  </si>
  <si>
    <t>Проведение оценки эффективности  налоговых льгот (с 2020 года -налоговых расходов) по налогу на имущество и земельному и устранение неэффективных налоговых льгот</t>
  </si>
  <si>
    <t xml:space="preserve">Проведение оценки эффективности налоговых льгот (с 2020 г - налоговых расходов) по единому налогу на вмененный доход </t>
  </si>
  <si>
    <t>Проведение оценки эффективности налоговых льгот (с 2020 года - налоговых расходов) по налогу на имущество и земельному налогу</t>
  </si>
  <si>
    <t>Отдел градостроительной деятельности иземльных отношений, отдел муниципальной собственности, отдел бухгалтерского учета  Администрации Кондопожского муниципального района</t>
  </si>
  <si>
    <t>Итого 2019 - 2024 годы</t>
  </si>
  <si>
    <t>Выплата должниками задолженности по арендным платежам за земельные участки и имущество, находящееся в муниципальной собственности</t>
  </si>
  <si>
    <t>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t>
  </si>
  <si>
    <t>Количество вновь созданных рабочих мест (включая вновь зарегистрированных индивидуальных предпринимателей) субъектами малого и среднего предпринимательства, получившими государственную поддержку</t>
  </si>
  <si>
    <t>Реализация мероприятий по государственной поддержке малого и среднего предпринимательства (в т.ч. Поддержка субъектов малого и среднего предпринимательства в моногородах)</t>
  </si>
  <si>
    <t>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 утвержденных Приказом Минэкономразвития России от 01.09.2014 № 540</t>
  </si>
  <si>
    <t>Отдел градостроительной деятельности и земельных отношений</t>
  </si>
  <si>
    <t>Актуализация правил землепользования и застройки в соответствии с приказом Минэкономразвития России от 01.09.2014 № 540</t>
  </si>
  <si>
    <t>Приведение в соответствие Правил землепользования и застройки</t>
  </si>
  <si>
    <t>2019-2022</t>
  </si>
  <si>
    <t>2.1.2</t>
  </si>
  <si>
    <t>2.2.1</t>
  </si>
  <si>
    <t>работников административно-управленческого персонала в общеобразовательных учреждениях, за исключением учреждений,расположенных в сельской местности</t>
  </si>
  <si>
    <t xml:space="preserve"> Отдел экономики, финансовое управление Администрации КМР,  МОУ ДО "ДТДиЮ" , МОУ ДО "Детскаяшкола искусств"
</t>
  </si>
  <si>
    <t>2020-2024 годы</t>
  </si>
  <si>
    <t>мероприятия по списанию нереальной к взысканию (безнадежной) дебиторской задолженности и невостребованной кредиторской задолженности в соответствии с Инструкцией, утвержденной приказом Министерства финансов Российской Федерации от 1 декабря 2010 года № 157н и нормами Гражданского кодекса РФ</t>
  </si>
  <si>
    <t>списание нереальной к взысканию (безнадежной) дебиторской задолженности и невостребованной кредиторской задолженности</t>
  </si>
  <si>
    <t>Привлечение  дополнительных финансовых средств вышестоящих бюджетов (на развитие материально-технической базы) в связи с изменением типа образовательного учреждения на учреждение физкультуры</t>
  </si>
  <si>
    <t>Сокращение штатной численности в связи с изъятием из оперативного управления МОУ Гирвасская СОШ им. Героя Советского Союза А.Н. Афанасьева здания детского сада</t>
  </si>
  <si>
    <t>Создание казенного учреждения с передачей функций органа местного самоуправления, в том числе по вопросам ведения бухгалтерского учета, в сфере информационных технологий и программно-технического обеспечения Администрации</t>
  </si>
  <si>
    <t>Отделы Администрации Кондопожского муниципального района</t>
  </si>
  <si>
    <t>2.1.7</t>
  </si>
  <si>
    <t>Оптимизация штатной численности с 01.09.2019 (педагогический, учебно-вспомогательный и обслуживающий)</t>
  </si>
  <si>
    <t xml:space="preserve"> РБС – 
МУ «ЦБСОО», Администрация Кондопожского муниципального района, КСО; образовательные учреждения, учреждения культуры), СШОР,  МКУ "Административно-хозяйственное управление", Администрация Кондопожского муниципального района, КСО
</t>
  </si>
  <si>
    <t>Снижение задолженности по НДФЛ и страховым взносам</t>
  </si>
  <si>
    <t>в соответствии с Порядком проведения реструктуризации обязательств по бюджетным кредитам, утвержденным Постановлением Правительства Республики Карелия № 66-П от 22.03.2008 и Законом о бюджете Республики Карелия</t>
  </si>
  <si>
    <t>2.8.1.</t>
  </si>
  <si>
    <t>2.8.3.</t>
  </si>
  <si>
    <t>2.8.2.</t>
  </si>
  <si>
    <t>2.1.8</t>
  </si>
  <si>
    <t>Оптимизация штатной численности по МОУ СОШ № 6</t>
  </si>
  <si>
    <t>2.3.2.</t>
  </si>
  <si>
    <t>Проведение оценки эффективности налоговых льгот (налоговых расходов)</t>
  </si>
  <si>
    <t>Проведение оценки эффективности налоговых льгот (налоговых расходов) по налогу на имущество физических лиц и земельному налогу и отмена неэффективных налоговых льгот</t>
  </si>
  <si>
    <t>изменение типа существующего казенного учреждения в целях создания бюджетного учреждения, введение персонифицированного учета и разделение полномочий между дополнительным образованием и молодежной политикой</t>
  </si>
  <si>
    <t>2.1.10</t>
  </si>
  <si>
    <t>2.1.11</t>
  </si>
  <si>
    <t>работников МКУ "Административно-хозяйственное управление", в том числе административно-управленческого персонала</t>
  </si>
  <si>
    <t>оптимизация штатной численности и структуры учреждения (сокращение отдела кадров (-1 шт ед начальника отдела кадров)), сокращение -3 шт ед, в т.ч. -1 шт ед зам директора, -1шт ед инженера 1 категории, -0,5 шт ед специалиста по охране труда, -1 шт ед сторожа, +1,5 шт ед техника, в связи с приведением численности работников учреждения в соответствие с объемами оказываемых услуг, изменение оклада руководителя учреждения</t>
  </si>
  <si>
    <t>2019 -2024 годы</t>
  </si>
  <si>
    <t>Перекредитование в коммерческих банках с целью снижения расходов на обслуживание муниципального долга</t>
  </si>
  <si>
    <t>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t>
  </si>
  <si>
    <t>Привлечение  кредита с более низкой процентной ставкой</t>
  </si>
  <si>
    <t>Оптимизация штатной численности МДОУ № 20 "Колосок"  ввиду сокращения количества групп и с учетом нормативов по определению численности персонала</t>
  </si>
  <si>
    <t>Оптимизация штатной численности МОУ "Сунская ОШ" ввиду сокращения количества групп  и с учетом нормативов по определению численности персонала</t>
  </si>
  <si>
    <t>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 сокращение указных категорий работников (-3,5 шт ед педагогов-организаторов доп образования; + 2 шт ед специалистов по организации и проведению молод. мероприятий))</t>
  </si>
  <si>
    <t>2020-2021</t>
  </si>
  <si>
    <t>Оптимизация штатной численности в учреждениях  образования в связи с приведением в соответствие с объемами оказываемых услуг</t>
  </si>
  <si>
    <t>2.1.6.</t>
  </si>
  <si>
    <t>2.1.9</t>
  </si>
  <si>
    <t>2019-2021 годы</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</si>
  <si>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установленными Постановлением Правительства РК от 18.06.12  № 190-П;
- оптимизация расходов на содержание органов местного самоуправления (материальное обеспечение, транспортное обслуживание органов местного самоуправления в связи с проведением закупок конкурентными способами)</t>
  </si>
  <si>
    <t>2.2.3</t>
  </si>
  <si>
    <t xml:space="preserve">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t>
  </si>
  <si>
    <t xml:space="preserve">Отдел  закупок Администрации КМР; РБС – 
МУ «ЦБСОО»;образовательные учреждения, учреждения культуры, СШОР,  МКУ "Административно-хозяйственное управление", Администрация Кондопожского муниципального района
</t>
  </si>
  <si>
    <t>Расширение рынка платных услуг с целью увеличения объемов доходов от платных услуг, сокращение объема бюджетных расходов с переложением расходов на полученные муниципальными учреждениями доходы от платной деятельности</t>
  </si>
  <si>
    <t>Установление запрета на увеличение  численности муниципальных служащих и работников казенных учреждений Кондопожского муниципального района, за исключением случаев изменения  функций органов местного самоуправления и казенных учреждений Кондопожского муниципального района</t>
  </si>
  <si>
    <t>Оптимизация штатной численности и расходов на содержание здания в п. Кедрозеро с 01.09.2020 года в связи с сокращением численности детей по дошкольному образованию сокращено 7,6 штатных единиц, в т.ч. - 1 шт ед. зам директора, -1,25 шт. ед воспитателя, -1,25 шт ед младшего воспитателя, -0,5 шт ед кухонного рабочего, -0,75 шт ед повара, -0,25 шт ед рабочего по стирке и ремонту спецодежды, -0,1 шт ед инженера-энергетика, -0,25 шт ед рабочего по комп обслуж и ремонту зданий, -0,5 шт ед зав столовой, -0,25 шт ед дворника, -1 шт.ед истопника, -0,5 шт ед уборщицы</t>
  </si>
  <si>
    <t>Оптимизация штатной численности с 04.09.2020 в связи с уменьшением количества групп (на 8 групп) и сокращением 32,55 шт ед, в т.ч. АУП -1 шт. ед (зам директора), педработники -17,3 шт ед (-1 шт ед методиста, -12,8 шт ед воспитателя, -1,5 шт ед инструктора по физ. культуре, -2 шт ед муз руководителя), УВП -14,25 шт. ед (-12 шт ед помощника воспитателя, -0,5 шт ед завхоза, -1,5 шт ед повара, -0,25 шт ед кастелянши)</t>
  </si>
  <si>
    <r>
      <t xml:space="preserve">Оптимизация штатной численности с </t>
    </r>
    <r>
      <rPr>
        <u/>
        <sz val="14"/>
        <rFont val="Times New Roman"/>
        <family val="1"/>
        <charset val="204"/>
      </rPr>
      <t>01.12.2020</t>
    </r>
    <r>
      <rPr>
        <sz val="14"/>
        <rFont val="Times New Roman"/>
        <family val="1"/>
        <charset val="204"/>
      </rPr>
      <t xml:space="preserve"> года -1 ст пом воспитателя </t>
    </r>
  </si>
  <si>
    <t>Оптимизация штатной численностис 01.02.2021 в связи с уменьшением количества групп (на 6 групп) и сокращением 22,35 шт. ед (-0,5 шт ед методиста, -9,6 шт ед воспитателя, -1,5 шт ед муз руководителя, -0,5 шт. ед инструктора по физ. Культуре, -9,0 шт. ед помощника воспитателя, -0,5 шт ед зав. хозяйством, -0,5 шт. ед кладовщика, -0,25 шт ед кастелянши)</t>
  </si>
  <si>
    <r>
      <t xml:space="preserve">приведение численности работников в соответствие с объемами оказываемых услуг </t>
    </r>
    <r>
      <rPr>
        <u/>
        <sz val="14"/>
        <rFont val="Times New Roman"/>
        <family val="1"/>
        <charset val="204"/>
      </rPr>
      <t>с 01.04.2021</t>
    </r>
    <r>
      <rPr>
        <sz val="14"/>
        <rFont val="Times New Roman"/>
        <family val="1"/>
        <charset val="204"/>
      </rPr>
      <t xml:space="preserve"> года (уменьшение количества ставок воспитателей на 1 группу с 1,68 до 1,5; помощники воспитателей на 1 группу с 1,5 до 1,25) сокращение 33,4 шт ед (в том числе -9,4 шт ед воспитателя, -22 шт ед помощника воспитателя, -0,85 шт ед машинист по стирке и ремонту спец одежды, -1,15 шт ед дворника)</t>
    </r>
  </si>
  <si>
    <t>Мониторинг компенсации работникам расходов на оплату стоимости проезда к месту отдыха, утвержденного  Решением Совета Кондопожского муниципального района от 26 июня 2019 года № 2 "Об  утверждении Положения о порядке компенсации расходов на оплату стоимости проезда и провоза багажа к месту использования отпуска и обратно для лиц, работающих в муниципальных учреждениях, органах местного самоуправления, финансируемых из бюджета Кондопожского муниципального района расположенных в районах Крайнего Севера и приравненных к ним местностях, и членов их семей"</t>
  </si>
  <si>
    <r>
      <t xml:space="preserve"> приведение численности работников в соответствие с объемами оказываемых услуг  </t>
    </r>
    <r>
      <rPr>
        <u/>
        <sz val="14"/>
        <rFont val="Times New Roman"/>
        <family val="1"/>
        <charset val="204"/>
      </rPr>
      <t>с 01.03.20</t>
    </r>
    <r>
      <rPr>
        <sz val="14"/>
        <rFont val="Times New Roman"/>
        <family val="1"/>
        <charset val="204"/>
      </rPr>
      <t xml:space="preserve"> в части дошкольного образования   МОУ СОШ № 7  -0,5 шт. ед зав хозяйства и - 0,5 шт ед. уборщик служ. помещений; </t>
    </r>
    <r>
      <rPr>
        <u/>
        <sz val="14"/>
        <rFont val="Times New Roman"/>
        <family val="1"/>
        <charset val="204"/>
      </rPr>
      <t>с 01.09.20 г</t>
    </r>
    <r>
      <rPr>
        <sz val="14"/>
        <rFont val="Times New Roman"/>
        <family val="1"/>
        <charset val="204"/>
      </rPr>
      <t>, сокращение 15,2 шт единицы (в т.ч.  МОУ Кончезерская СОШ -0,7 шт ед кладовщика, МОУ Спасогубская СОШ -1,36 шт ед учителя, МОУ Кяппесельгская СОШ -0,17 шт ед учителя, МОУ СОШ № 2 -3,21 шт ед учителя, МОУ СОШ № 3 -3,2 шт ед учителя, МОУ СОШ № 1 -4,99 шт ед учителя, -0,2 шт ед педагога доп образования,+0,13 шт ед уборщика, МОУ СОШ № 8 -0,9 шт ед учителя, -0,25 шт ед педагога-организатора по внеклас и спортивной работе, -0,75 шт ед педагога доп образования, -0,5 шт ед методиста, +1 шт ед завхоза, -0,1 шт ед сторожа),</t>
    </r>
  </si>
  <si>
    <t>Мониторинг соблюдение лимитов потребления, утвержденных  Постановлением Администрации Кондопожского муниципального района от 11.09. 2020 г.  №  950 "Об утверждение лимитов потребления электрической и тепловой энергии, водоснабжения, водоотведения по  муниципальным учреждениям, финансируемым из бюджета Кондопожского муниципального района, на 2021 год" (с учетом изменений от 12.02.2021 № 150)</t>
  </si>
  <si>
    <t>2523,8                                  16291,33                              49378,60                                         19130,5</t>
  </si>
  <si>
    <t>1 934,35                                            15 153,8                                               34 703,79                                         18 417,16</t>
  </si>
  <si>
    <t>2 261,35                                             16 510,72                                       40 442,06                                      19 369,3</t>
  </si>
  <si>
    <t>2 145,2                                             15 028,04                                   44 296,6                                        19 477,3</t>
  </si>
  <si>
    <t>Мониторинг соблюдения нормативов затрат на оказание муниципальных услуг, утвержденных Постановлением Администрации Кондопожского муниципального района от  15.05. 2020 г.  №  485, Распоряжением от  19.05.2020 года № 271-р "Об утверждении значений нормативов затрат на оказание муниципальных услуг в сфере дополнительного образования"</t>
  </si>
  <si>
    <t>Мониторинг соблюдения норм расхода ГСМ, утвержденных Постановлением  Администрации Кондопожского муниципального района от   29.01 2019 г.  №  56 "Об утверждение норм расхода горюче-смазочных материалов для муниципальных учреждений Кондопожского муниципального района" (с изменениями от 14.02.2019 № 96, от 18.03.2020 № 268)</t>
  </si>
  <si>
    <t xml:space="preserve">  приведение численности работников в соответствие с объемами оказываемых услуг с 01.04.2021 г. МОУ Кяппесельгская СОШ учитель +0,22 шт ед, зам дир по дош образ -0,5шт ед, млад воспит -0,5 шт ед, сторож -0,8 шт. ед, машинист по стирке и ремонту спец одежды -0,05 шт ед</t>
  </si>
  <si>
    <t>СПРАВОЧНО:</t>
  </si>
  <si>
    <t>Подготовка решения об утверждении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 разработка и утверждение дорожной карты по сокращению должностей муниципальной службы в 2021 году</t>
  </si>
  <si>
    <t>Утверждение структуры органов местного самоуправления, предусматривающей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 создание казенного учреждения по переводу бухгалтеров в том числе сельских поселений на централизованное бухгалтерское сопровождение, создание муниципального казенного учреждения "Управление образования и культуры и спорта"</t>
  </si>
  <si>
    <t>Наличие решения об утверждении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 (Решение Совета Кондопожского муниципального района от 02.03.2021 года № 2), создание централизованной бухгалтерии (Решение Совета Кондопожского муниципального района от 02.03.2021 № 3), создание муниципального казенного учреждения "Управление образования и культуры и спорта"(Решение Совета Кондопожского муниципального района от 02.03.2021 №4)</t>
  </si>
  <si>
    <t>Мониторинг соблюдения нормативных затрат, утвержденных Постановлением Администрации Кондопожского муниципального района от  05 марта 2018 г.  №  150 "Об утверждении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t>
  </si>
  <si>
    <t>2.1.12</t>
  </si>
  <si>
    <t>Оптимизация штатной численности МОУ Кончезерская СОШ</t>
  </si>
  <si>
    <t>Оптимизация штатной численности с 01.02.2021 в связи с уменьшением количества групп (на 1 группу) и сокращением 2 шт. ед (-2 ставки воспитателя, +0,5 ст старшего воспитателя, -0,25 ст муз руководителя, -0,25 ст зам директора по воспитат и метод работе);- 0,01 ст по общему образованию  (-0,2 педагог-организатор,+ 0,2 ст библиотекаря, -0,01 учителя)</t>
  </si>
  <si>
    <t>с 01.06.2021сокращение  1 шт ед младшего воспитателя</t>
  </si>
  <si>
    <t>2.1.13</t>
  </si>
  <si>
    <t>2.1.14</t>
  </si>
  <si>
    <t>МКУ "Управления образования и культуры", РБС – МУ «ЦБСОО», МОУ ГСОШ</t>
  </si>
  <si>
    <t>МКУ "Управления образования и культуры", РБС – МУ «ЦБСОО», МОУ Березовская НОШ, МОУ средняя общеобразовательная школа № 6 г. Кондопоги РК</t>
  </si>
  <si>
    <t>МКУ "Управления образования и культуры", РБС – МУ «ЦБСОО», МОУ Кедрозерская ОШ, МОУ СОШ № 7</t>
  </si>
  <si>
    <t>МКУ "Управления образования и культуры", РБС – МУ «ЦБСОО», МДОУ № 20 "Колосок"</t>
  </si>
  <si>
    <t>ОМКУ "Управления образования и культуры", РБС – МУ «ЦБСОО»,  МОУ ДО "ДТДиЮ"</t>
  </si>
  <si>
    <t>МКУ "Управления образования и культуры", РБС – МУ «ЦБСОО», МОУ СОШ № 6</t>
  </si>
  <si>
    <t>МКУ "Управления образования и культуры", Отдел экономики, Финансовое управление Администрации КМР, РБС – МУ «ЦБСОО», МДОУ № 20 "Колосок"</t>
  </si>
  <si>
    <t>МКУ "Управления образования и культуры" Отдел экономики, Финансовое управление Администрации КМР, РБС – МУ «ЦБСОО», МОУ "Сунская ОШ"</t>
  </si>
  <si>
    <t>МКУ "Управления образования и культуры",Отдел экономики, Финансовое управление Администрации КМР, РБС – МУ «ЦБСОО»,  МУК "Кондопожский музей"</t>
  </si>
  <si>
    <t>МКУ "Управления образования и культуры",Отдел экономики, Финансовое управление Администрации КМР, РБС – МУ «ЦБСОО»,  МУ "КЦРБ"</t>
  </si>
  <si>
    <t>МКУ "Управления образования и культуры", Администрация КМР, РБС – МУ «ЦБСОО»,  МКУ "Административно-хозяйственное управление"</t>
  </si>
  <si>
    <t xml:space="preserve"> МКУ "Управления образования и культуры",Администрация КМР, РБС – МУ «ЦБСОО»,  МКУ "Административно-хозяйственное управление"</t>
  </si>
  <si>
    <t>МКУ "Управления образования и культуры", Администрация КМР, РБС – МУ «ЦБСОО»,  МДОУ № 20 "Колосок"</t>
  </si>
  <si>
    <t>МКУ "Управления образования и культуры", отдел экономики, финансовое управление Администрации Кондопожского района</t>
  </si>
  <si>
    <t xml:space="preserve"> МКУ "Управления образования и культуры",РБС – МУ «ЦБСОО»; МОУ СОШ № 1, "МОУ СОШ №2", МОУ СОШ №3 г.Кондопоги РК, МОУ Средняя общеобразовательная школа №6 г. Кондопоги РК, МОУ СОШ №7, МОУ СОШ №8 г.Кондопоги РК</t>
  </si>
  <si>
    <t>МКУ "Управления образования и культуры", РБС - МУ "ЦБСОО", МКУ"Административно-хозяйственное управление"</t>
  </si>
  <si>
    <t>МКУ "Управления образования и культуры",Отдел экономики, финансовое управление Администрации КМР; РБС – 
МУ «ЦБСОО»;  МОУ ГСОШ</t>
  </si>
  <si>
    <t>МКУ "Управления образования и культуры",Отдел экономики, финансовое управление Администрации КМР; РБС – 
МУ «ЦБСОО»;  МКУ "Административно-хозяйственное управление"</t>
  </si>
  <si>
    <t>МКУ "Управления образования и культуры", отдел социальной политики Администрации Кондопожского муниципального района</t>
  </si>
  <si>
    <t>МКУ "Управления образования и культуры", Отдел экономики, Финансовое управление Администрации КМР, РБС – МУ «ЦБСОО», МОУ СОШ № 7, МОУ Кончезерская СОШ, МОУ Спасогубская  общеобразовательная школа, МОУ Кяппесельгская СОШ, МОУ "СОШ № 2", МОУ СОШ № 3 г. Кондопоги,МОУ СОШ № 1, МОУ СОШ № 6, МОУ СОШ 8, МОУ ГСОШ</t>
  </si>
  <si>
    <t>с 21.07.2021 года сокращение 6,9 шт. единиц, в том числе: -1 шт ед зам директора по работе с детьми,- 1шт. ед. Зав сектором, -1 шт ед зав отделом,+ 1 шт ед главного библиотекаря, -1,25 шт ед ведущего библиотекаря, -0,25 шт ед библиотекарь, -0,15 шт ед уборщик служебных помещений, -1,75 шт ед гардеробщик, - 1шт ед библиотекарь-каталогизатор, -0,5 шт ед. ведущий библиотекарь, -0,5 шт ед. художника</t>
  </si>
  <si>
    <t>Централизация обеспечивающих функций учреждений: 
- по ведению бухгалтерского учета;
- закупке товаров, работ и услуг;
- материально-техническому обеспечению;
- обслуживанию и ремонту помещений, охране зданий,                                                                                                  в том числе:</t>
  </si>
  <si>
    <t>2.1.15</t>
  </si>
  <si>
    <t>Оптимизация штатной численности МУК "Кондопожский музей"</t>
  </si>
  <si>
    <t>Оптимизация штатной численности МУ КЦРБ</t>
  </si>
  <si>
    <t>Оптимизация штатной численности МОУ ДО "ДТДиЮ"</t>
  </si>
  <si>
    <t>МКУ "Управления образования и культуры",Отдел экономики, Финансовое управление Администрации КМР, РБС – МУ «ЦБСОО»,  МОУ ДО "ДТДиЮ"</t>
  </si>
  <si>
    <r>
      <t>перевод зданий 2 корпусов МДОУ № 20 "Колосок" на охрану с использованием технических средств видеонаблюденияс</t>
    </r>
    <r>
      <rPr>
        <u/>
        <sz val="14"/>
        <rFont val="Times New Roman"/>
        <family val="1"/>
        <charset val="204"/>
      </rPr>
      <t xml:space="preserve"> сокращено с 04.04.2021-  3 шт ед </t>
    </r>
    <r>
      <rPr>
        <sz val="14"/>
        <rFont val="Times New Roman"/>
        <family val="1"/>
        <charset val="204"/>
      </rPr>
      <t>"сторож</t>
    </r>
    <r>
      <rPr>
        <u/>
        <sz val="14"/>
        <rFont val="Times New Roman"/>
        <family val="1"/>
        <charset val="204"/>
      </rPr>
      <t>", с 02.06.2021</t>
    </r>
    <r>
      <rPr>
        <sz val="14"/>
        <rFont val="Times New Roman"/>
        <family val="1"/>
        <charset val="204"/>
      </rPr>
      <t xml:space="preserve">  - 3 шт ед сторожей</t>
    </r>
  </si>
  <si>
    <t>приведение объема оказываемых услуги в дошкольных группах в соответствие с численностью контингента воспитанников  -2,65 шт. ед, в т.ч. -1,33 шт ед "воспитатель", -1,32 шт ед "младший воспитатель" в связи с уменьшением количества дошкольных групп ( -1)</t>
  </si>
  <si>
    <r>
      <t>оптимизация штатной численности и приведение численности работников в соответствие с объемами оказываемых услуг</t>
    </r>
    <r>
      <rPr>
        <u/>
        <sz val="14"/>
        <rFont val="Times New Roman"/>
        <family val="1"/>
        <charset val="204"/>
      </rPr>
      <t xml:space="preserve">  </t>
    </r>
    <r>
      <rPr>
        <sz val="14"/>
        <rFont val="Times New Roman"/>
        <family val="1"/>
        <charset val="204"/>
      </rPr>
      <t>(сокращение 8 групп в связи со снижением численности контингента воспитанников)</t>
    </r>
    <r>
      <rPr>
        <u/>
        <sz val="14"/>
        <rFont val="Times New Roman"/>
        <family val="1"/>
        <charset val="204"/>
      </rPr>
      <t xml:space="preserve"> с 01.09.202</t>
    </r>
    <r>
      <rPr>
        <sz val="14"/>
        <rFont val="Times New Roman"/>
        <family val="1"/>
        <charset val="204"/>
      </rPr>
      <t>1 сокращение  32 шт ед., в т.ч. -0,5 шт ед "методист", -12 шт ед "воспитатель", -0,5 шт ед "инструктор по физ культуре", -2 шт ед "муз руководитель", -13 шт ед "помощник воспитателя", +3 шт ед "ассистент (момощник) по оказанию тех помощи инвалидам и лицам с ОВЗ", -0,75 шт ед "зав хозяйством", -0,5 шт ед "калькулятор, -2,5 шт ед "повар", -0,75 шт ед "кастелянша", -0,5 шт ед "кладовщик"-2 шт ед "кухонный рабочий"</t>
    </r>
  </si>
  <si>
    <t>Управление образования и культуры, Администрация Кондопожского муниципального района, РБС - МУ "ЦБСОО" , МОУ ГСОШ</t>
  </si>
  <si>
    <t>Управление образования и культуры, Администрация Кондопожского муниципального района, РБС - МУ "ЦБСОО" , МДОУ № 20 "Колосок"</t>
  </si>
  <si>
    <r>
      <rPr>
        <u/>
        <sz val="14"/>
        <rFont val="Times New Roman"/>
        <family val="1"/>
        <charset val="204"/>
      </rPr>
      <t xml:space="preserve"> с 02.06.2021</t>
    </r>
    <r>
      <rPr>
        <sz val="14"/>
        <rFont val="Times New Roman"/>
        <family val="1"/>
        <charset val="204"/>
      </rPr>
      <t xml:space="preserve"> </t>
    </r>
    <r>
      <rPr>
        <sz val="14"/>
        <rFont val="Times New Roman"/>
        <family val="1"/>
        <charset val="204"/>
      </rPr>
      <t>- 6 шт ед заместителя директора,+ 6 шт.ед зав корпусами</t>
    </r>
  </si>
  <si>
    <t>сокращение штатных единиц  (с 01.09.2018 г.): заместителя директора (0,2 ед.), с 01.09.2020 - 0,65 шт. ед по должности "заместителя директора"</t>
  </si>
  <si>
    <t>приведение объема оказываемых услуги в дошкольных группах в соответствие с численностью контингента воспитанников  "-"0,28 шт. ед, -0,25 шт ед "муз. руководитель", -0,03 шт ед "воспитатель"</t>
  </si>
  <si>
    <t xml:space="preserve">фвктически реализованные в январе-сентябре 2021 года мероприятия </t>
  </si>
  <si>
    <t>условный эффект в 2021 году по мероприятиям, принятым к  реализации в течении 2020 года</t>
  </si>
  <si>
    <t>условный эффект в 2022 году по мероприятиям, принятым к  реализации в течении 2021 года</t>
  </si>
  <si>
    <t>планируемые к проведению  мероприятия в  2022 году</t>
  </si>
  <si>
    <t>планируемые к проведению  мероприятия до конца 2021 года</t>
  </si>
  <si>
    <t>сокращение неэффективных расходов  на содержание вспомогательного персонала в МУК "Кондопожский музей"</t>
  </si>
  <si>
    <t>сокращение штатной численности в МОУ ГСОШ  с 21.02.20   -1 шт. ед воспитателя и -1 шт ед.  мл. воспитателя; с 02.12.2020 педагог библиотекарь -0,25 , воспитатель- 0,5, пед доп образ -0,5 ; млад воспит -0,6 уборщик -0,8,),    с 01.04.2021-2,8 шт. ед. в том числе -0,5шт ед заместителя директора по УВР, -0,5 шт ед педагога-психолога, -0,25шт ед социального педагога, -0,5 шт ед педагогога доп образования, -0,25 шт ед педагога организатора, -0,2 сшт ед лаборанта, -0,6 шт ед сторожа,  и с 01.09.2021 -0,2 шт ед "зав. хозяйством", -0,12 шт ед " рабочего по комплексному обслуживанию и ремонту зданий"</t>
  </si>
  <si>
    <t>2.1.16</t>
  </si>
  <si>
    <t>Оптимизация штатной численности МОУ ГСОШ</t>
  </si>
  <si>
    <t xml:space="preserve">МКУ "Управления образования и культуры",Отдел экономики, Финансовое управление Администрации КМР, РБС – МУ «ЦБСОО»,  МОУ Кончезерская СОШ </t>
  </si>
  <si>
    <t>оптимизация штатной численности с 01.09.2021 сокращение  0,5 шт ед музейного смотрителя</t>
  </si>
  <si>
    <r>
      <t xml:space="preserve"> приведение численности работников в соответствие с объемами оказываемых услуг  и с утверждением нового штатного расписания с</t>
    </r>
    <r>
      <rPr>
        <u/>
        <sz val="14"/>
        <rFont val="Times New Roman"/>
        <family val="1"/>
        <charset val="204"/>
      </rPr>
      <t xml:space="preserve"> 01.09.2021</t>
    </r>
    <r>
      <rPr>
        <sz val="14"/>
        <rFont val="Times New Roman"/>
        <family val="1"/>
        <charset val="204"/>
      </rPr>
      <t xml:space="preserve"> года по МОУ СОШ № 1 -3,8 шт. ед, в т.ч. - 0,7 шт ед "педагог доп образования", -4,8 шт ед "учитель", +0,7 шт ед "педагог-организатор", +1 шт ед "старший методист;  по МОУ СОШ № 2 - 1,27 шт. ед., в т.ч. -1,79 шт ед "учитель", +0,02 шт ед "педпгог доп образования" +0,5 шт. ед "специалист по охране труда"; по МОУ СОШ № 3 -0,93 шт. ед, в т.ч. -0,93 шт ед "учитель", +0,25 шт ед "инженер-программмист", -0,25 шт ед "инженер-энергетик"; по МОУ СОШ № 6 -0,11 шт ед, в т.ч. +1,5 шт ед "методист", -1,36 шт. ед "учитель", -0,25 шт ед "уборщик служебных помещений"; МОУ СОШ № 7 -3,37 шт ед "учитель"; МОУ СОШ № 8 -4,67 шт ед, в т.ч. -0,1 шт ед "зам директора по УВР"+0,1 шт. ед "зам директора по хоз. части", -2,17 шт ед "учитель", -1 шт ед "ст. методист", -1,5 шт ед "методист",МОУ ГСОШ-0,99 шт. ед, в т.ч. -0,5 шт ед "педагог доп образования", +0,13 шт ед "учитель", -0,25 шт. ед "специалист по охране труда", -0,25 шт ед "спец. по кадрам", -0,12 шт ед "рабочий по комплексному обслуживанию и ремонту зданий", МОУ Кончезерская СОШ -0,84 шт. ед, в т.ч. -0,84 шт ед "Учитель", МОУ Кяппесельгская ОШ -0,38 шт. ед, в т.ч. +0,06 шт ед "учитель", -0,44 шт. ед "педагог доп образования", МОУ Спасогубская ОШ +0,01  "пед ставки"</t>
    </r>
  </si>
  <si>
    <t>Оптимизация штатной численности с 01.09.2021 в связи с уменьшением количества группу (наполняемость групп не менее 14 человек, при меньшей наполняемости группа не формируется) -8,26 шт ед, в т.ч. -2,4 шт ед "сторож", -4,11 шт ед "педагог доп образования", -0,5 шт ед "соц педагог", -0,25 шт ед "концертмейстер",-1 шт ед "специалист по организации и проведению молодежных мероприятий"</t>
  </si>
  <si>
    <t>Изъятие  непрофильного и не используемого в уставной деятельности государственного (муниципального) имущества, находящегося в оперативном управлении государственных (муниципальных) учреждений, для его дальнейшего целевого использования (передача в аренду, продажа)</t>
  </si>
  <si>
    <r>
      <t xml:space="preserve">Изъятие </t>
    </r>
    <r>
      <rPr>
        <u/>
        <sz val="14"/>
        <rFont val="Times New Roman"/>
        <family val="1"/>
        <charset val="204"/>
      </rPr>
      <t>с 01.02.2022</t>
    </r>
    <r>
      <rPr>
        <sz val="14"/>
        <rFont val="Times New Roman"/>
        <family val="1"/>
        <charset val="204"/>
      </rPr>
      <t xml:space="preserve"> года непрофильного и не используемого в уставной деятельности государственного (муниципального) имущества, находящегося в оперативном управлении государственных (муниципальных) учреждений, для его дальнейшего целевого использования (передача в аренду, продажа)</t>
    </r>
  </si>
  <si>
    <t>3.9.</t>
  </si>
  <si>
    <t>не менее чем на 15</t>
  </si>
  <si>
    <t>перевод зданий  4 корпусов МДОУ № 20 "Колосок" на охрану с использованием технических средств видеонаблюденияс сокращено с 01.02.2022-  12 шт ед "сторож"</t>
  </si>
  <si>
    <t>передача  функций по хзяйственному обеспечению деятельности муниципальных учреждений Кондопожского муниципального района, расположенных в г. Кондопога , в МКУ "Административно-хозяйственное управление"  с  МУК " Музей Кондопожского края" с 01.10.2021 г (-4,5 шт ед "музейного смотрителя", +4,5 шт ед "сторож")</t>
  </si>
  <si>
    <t>Эффективное использование государственного и муниципального имущества (изъятие из оперативного управления 3-х корпусов МДОУ 3 20 "Колосок (Корпус № 1 ул. Заводская, д. 30а; корпус № 2 ул. Заводская д.17а)</t>
  </si>
  <si>
    <t>Организация работы Комиссии по взысканию дебиторской задолженности</t>
  </si>
  <si>
    <t xml:space="preserve">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 вопросам обеспечения полной и своевременной выплаты заработной платы, поступления страховых взносов </t>
  </si>
  <si>
    <t>Уменьшение количества групп с 80 до 70 в связи с уменьшением количества детей в 2021 году, а также с учетом ожидаемого прогноза на 2022 год. Сокращение 7,95 шт ед с 13.01.2022, в т.ч.  - 1 шт ед учителя-логопеда, - 3.6 шт ед воспитателя,-  0,26 шт ед инструктора по физической культуре, - 0,34 шт ед музыкально руководителя, - 2,5 шт ед помощника воспитателя, - 0,25 шт ед методиста. Сокращение  11,35шт. ед. с 01.03.2022 года , в т.ч.: - 1 шт ед зав корпусом, - 0,25 шт ед методиста, -1,5 шт ед дворника, - 0,5 шт ед завхоза, -1,1 шт ед уборщика служебных помещений, -0,25 шт ед инженера-энергетика, - 1 шт ед калькулятора, -2,5 шт ед повара, - 1 шт ед кухонного рабочего, -0,5 шт ед грузчика, -0,5 шт ед машиниста по стирке и ремонту спецодежды, -0,5 шт ед кладовщика, -0,75 ст. кастелянши. Сокращениес 01.04.2022  3 шт ед, в т.ч. - 2 шт ед ассистента (помощника) по оказанию тех.помощи инвалидам и лицам с ОВЗ, - 1 шт ед повара. Сокращение с 06.06.2022 года 3,75 шт ед, в т.ч.:  - 2шт ед калькулятора, -1 шт ед кухонного рабочего, -0,75 шт ед машиниста по стирке и ремонту спецодежды. Сокращение с 01.10.2022 года на 28,35 шт. ед.: -0,5 шт ед методиста, -11,4 шт ед воспитателя, - 1,45 шт ед музыкального руководителя, -7,5 шт ед помощника воспитателя,- 1,25 шт ед зав хозяйством, -1 шт ед уборщика служебных помещений, -2,5 шт ед повара, -0.5 шт ед кастелянши, -1,25 шт ед кладовщика, -0,5 шт ед кухонного рабочего, -0,5 шт ед - машиниста  по стирке и ремонту спецодежды</t>
  </si>
  <si>
    <t>Приложение 1 
к Программе оздоровления муниципальных финансов Кондопожского  муниципального района на 
  2019-2024 годы, утвержденная Распоряжением Администрации Кондопожского муниципального района  № 738-р от 30.12.2022 года
"Приложение 1 
к Программе оздоровления муниципальных финансов Кондопожского  муниципального района на 
  2019-2024 годы, утвержденная Распоряжением Администрации Кондопожского муниципального района  № 211-р от 15.04.2020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</si>
</sst>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0"/>
      <name val="Arial"/>
      <family val="2"/>
      <charset val="204"/>
    </font>
    <font>
      <sz val="14"/>
      <color theme="1"/>
      <name val="Times New Roman"/>
      <family val="1"/>
      <charset val="204"/>
    </font>
    <font>
      <sz val="14"/>
      <color rgb="FF000000"/>
      <name val="Times New Roman"/>
      <family val="1"/>
      <charset val="204"/>
    </font>
    <font>
      <b/>
      <sz val="16"/>
      <name val="Times New Roman"/>
      <family val="1"/>
      <charset val="204"/>
    </font>
    <font>
      <sz val="16"/>
      <name val="Times New Roman"/>
      <family val="1"/>
      <charset val="204"/>
    </font>
    <font>
      <b/>
      <sz val="18"/>
      <name val="Times New Roman"/>
      <family val="1"/>
      <charset val="204"/>
    </font>
    <font>
      <sz val="18"/>
      <name val="Times New Roman"/>
      <family val="1"/>
      <charset val="204"/>
    </font>
    <font>
      <sz val="18"/>
      <color theme="1"/>
      <name val="Times New Roman"/>
      <family val="1"/>
      <charset val="204"/>
    </font>
    <font>
      <sz val="18"/>
      <color rgb="FF000000"/>
      <name val="Times New Roman"/>
      <family val="1"/>
      <charset val="204"/>
    </font>
    <font>
      <u/>
      <sz val="14"/>
      <name val="Times New Roman"/>
      <family val="1"/>
      <charset val="204"/>
    </font>
    <font>
      <sz val="16"/>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xf numFmtId="0" fontId="3" fillId="0" borderId="0"/>
    <xf numFmtId="0" fontId="6" fillId="0" borderId="0"/>
    <xf numFmtId="0" fontId="2" fillId="0" borderId="0"/>
    <xf numFmtId="0" fontId="1" fillId="0" borderId="0"/>
    <xf numFmtId="0" fontId="1" fillId="0" borderId="0"/>
  </cellStyleXfs>
  <cellXfs count="325">
    <xf numFmtId="0" fontId="0" fillId="0" borderId="0" xfId="0"/>
    <xf numFmtId="0" fontId="4" fillId="2" borderId="0" xfId="0" applyFont="1" applyFill="1" applyAlignment="1">
      <alignment horizontal="justify"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4" fillId="0" borderId="1" xfId="0" applyFont="1" applyFill="1" applyBorder="1" applyAlignment="1">
      <alignment horizontal="left" vertical="center" wrapText="1"/>
    </xf>
    <xf numFmtId="0" fontId="4" fillId="3"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0" fontId="5" fillId="0" borderId="0" xfId="0" applyFont="1" applyFill="1" applyAlignment="1">
      <alignment horizontal="center" vertical="top" wrapText="1"/>
    </xf>
    <xf numFmtId="0" fontId="4" fillId="0"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5" fillId="2" borderId="0" xfId="0" applyFont="1" applyFill="1" applyAlignment="1">
      <alignment horizontal="center" vertical="top" wrapText="1"/>
    </xf>
    <xf numFmtId="0" fontId="4" fillId="2" borderId="0" xfId="0" applyFont="1" applyFill="1" applyAlignment="1">
      <alignment horizontal="center" vertical="top" wrapText="1"/>
    </xf>
    <xf numFmtId="0" fontId="4" fillId="2" borderId="1" xfId="0" applyFont="1" applyFill="1" applyBorder="1" applyAlignment="1">
      <alignment horizontal="left" vertical="top" wrapText="1"/>
    </xf>
    <xf numFmtId="0" fontId="8" fillId="0" borderId="1" xfId="0" applyFont="1" applyFill="1" applyBorder="1" applyAlignment="1">
      <alignment horizontal="justify" vertical="top" wrapText="1"/>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2" borderId="1" xfId="0" applyFont="1" applyFill="1" applyBorder="1" applyAlignment="1">
      <alignment vertical="top" wrapText="1"/>
    </xf>
    <xf numFmtId="0" fontId="7" fillId="2" borderId="1" xfId="3" applyFont="1" applyFill="1" applyBorder="1" applyAlignment="1">
      <alignment vertical="top" wrapText="1"/>
    </xf>
    <xf numFmtId="0" fontId="5" fillId="4"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5" fillId="4" borderId="1" xfId="0" applyFont="1" applyFill="1" applyBorder="1" applyAlignment="1">
      <alignment horizontal="center" vertical="top" wrapText="1"/>
    </xf>
    <xf numFmtId="0" fontId="5" fillId="4" borderId="0" xfId="0" applyFont="1" applyFill="1" applyAlignment="1">
      <alignment horizontal="center" vertical="top" wrapText="1"/>
    </xf>
    <xf numFmtId="0" fontId="4" fillId="4" borderId="0" xfId="0" applyFont="1" applyFill="1" applyAlignment="1">
      <alignment vertical="top" wrapText="1"/>
    </xf>
    <xf numFmtId="0" fontId="4" fillId="2" borderId="0" xfId="0" applyFont="1" applyFill="1" applyAlignment="1">
      <alignment horizontal="right" vertical="top"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3" borderId="0" xfId="0" applyFont="1" applyFill="1" applyBorder="1" applyAlignment="1">
      <alignment horizontal="center" vertical="top" wrapText="1"/>
    </xf>
    <xf numFmtId="0" fontId="7" fillId="0" borderId="0" xfId="0" applyFont="1" applyBorder="1" applyAlignment="1">
      <alignment horizontal="center" vertical="center" wrapText="1"/>
    </xf>
    <xf numFmtId="0" fontId="4" fillId="2" borderId="0"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4" borderId="0" xfId="0" applyFont="1" applyFill="1" applyBorder="1" applyAlignment="1">
      <alignment horizontal="center" vertical="top" wrapText="1"/>
    </xf>
    <xf numFmtId="0" fontId="5" fillId="4" borderId="1" xfId="0" applyFont="1" applyFill="1" applyBorder="1" applyAlignment="1">
      <alignment horizontal="left" vertical="top" wrapText="1"/>
    </xf>
    <xf numFmtId="0" fontId="5" fillId="4" borderId="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right" vertical="top" wrapText="1"/>
    </xf>
    <xf numFmtId="0" fontId="4" fillId="2" borderId="1" xfId="0" applyFont="1" applyFill="1" applyBorder="1" applyAlignment="1">
      <alignment horizontal="center" vertical="center" wrapText="1"/>
    </xf>
    <xf numFmtId="0" fontId="5" fillId="4" borderId="4" xfId="0" applyFont="1" applyFill="1" applyBorder="1" applyAlignment="1">
      <alignment vertical="center" wrapText="1"/>
    </xf>
    <xf numFmtId="0" fontId="5" fillId="4" borderId="5" xfId="0" applyFont="1" applyFill="1" applyBorder="1" applyAlignment="1">
      <alignment vertical="center" wrapText="1"/>
    </xf>
    <xf numFmtId="0" fontId="5" fillId="4" borderId="4" xfId="0" applyFont="1" applyFill="1" applyBorder="1" applyAlignment="1">
      <alignment vertical="top" wrapText="1"/>
    </xf>
    <xf numFmtId="0" fontId="5" fillId="4" borderId="5" xfId="0" applyFont="1" applyFill="1" applyBorder="1" applyAlignment="1">
      <alignment vertical="top" wrapText="1"/>
    </xf>
    <xf numFmtId="0" fontId="5" fillId="4" borderId="6" xfId="0" applyFont="1" applyFill="1" applyBorder="1" applyAlignment="1">
      <alignment vertical="top" wrapText="1"/>
    </xf>
    <xf numFmtId="0" fontId="4" fillId="0" borderId="0" xfId="0" applyFont="1" applyFill="1" applyBorder="1" applyAlignment="1">
      <alignment horizontal="center" vertical="top" wrapText="1"/>
    </xf>
    <xf numFmtId="0" fontId="5" fillId="4" borderId="5" xfId="0" applyFont="1" applyFill="1" applyBorder="1" applyAlignment="1">
      <alignment horizontal="center" vertical="center" wrapText="1"/>
    </xf>
    <xf numFmtId="0" fontId="5" fillId="4" borderId="2" xfId="0" applyFont="1" applyFill="1" applyBorder="1" applyAlignment="1">
      <alignment horizontal="left" vertical="center" wrapText="1"/>
    </xf>
    <xf numFmtId="3" fontId="5" fillId="2"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0" xfId="0" applyNumberFormat="1" applyFont="1" applyFill="1" applyAlignment="1">
      <alignment horizontal="center" vertical="center" wrapText="1"/>
    </xf>
    <xf numFmtId="0" fontId="4" fillId="0" borderId="0" xfId="0" applyFont="1" applyFill="1" applyBorder="1" applyAlignment="1">
      <alignment horizontal="left" vertical="top" wrapText="1"/>
    </xf>
    <xf numFmtId="3" fontId="4" fillId="2" borderId="1" xfId="0" applyNumberFormat="1" applyFont="1" applyFill="1" applyBorder="1" applyAlignment="1">
      <alignment horizontal="center" vertical="center" wrapText="1"/>
    </xf>
    <xf numFmtId="0" fontId="4" fillId="2" borderId="0" xfId="0" applyFont="1" applyFill="1" applyAlignment="1">
      <alignment vertical="top" wrapText="1"/>
    </xf>
    <xf numFmtId="0" fontId="5" fillId="5" borderId="1" xfId="0" applyFont="1" applyFill="1" applyBorder="1" applyAlignment="1">
      <alignment horizontal="center" vertical="top" wrapText="1"/>
    </xf>
    <xf numFmtId="0" fontId="5" fillId="5" borderId="4" xfId="0" applyFont="1" applyFill="1" applyBorder="1" applyAlignment="1">
      <alignment vertical="top" wrapText="1"/>
    </xf>
    <xf numFmtId="0" fontId="5" fillId="5" borderId="5" xfId="0" applyFont="1" applyFill="1" applyBorder="1" applyAlignment="1">
      <alignment vertical="top" wrapText="1"/>
    </xf>
    <xf numFmtId="0" fontId="5" fillId="5" borderId="6" xfId="0" applyFont="1" applyFill="1" applyBorder="1" applyAlignment="1">
      <alignment vertical="top" wrapText="1"/>
    </xf>
    <xf numFmtId="0" fontId="5" fillId="5" borderId="6" xfId="0" applyFont="1" applyFill="1" applyBorder="1" applyAlignment="1">
      <alignment horizontal="left" vertical="top" wrapText="1"/>
    </xf>
    <xf numFmtId="0" fontId="5" fillId="5" borderId="6" xfId="0"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0" fontId="5" fillId="6" borderId="1" xfId="0" applyFont="1" applyFill="1" applyBorder="1" applyAlignment="1">
      <alignment horizontal="center" vertical="top" wrapText="1"/>
    </xf>
    <xf numFmtId="0" fontId="5" fillId="6" borderId="4" xfId="0" applyFont="1" applyFill="1" applyBorder="1" applyAlignment="1">
      <alignment vertical="top" wrapText="1"/>
    </xf>
    <xf numFmtId="0" fontId="5" fillId="6" borderId="5" xfId="0" applyFont="1" applyFill="1" applyBorder="1" applyAlignment="1">
      <alignment vertical="top" wrapText="1"/>
    </xf>
    <xf numFmtId="0" fontId="5" fillId="6" borderId="6" xfId="0" applyFont="1" applyFill="1" applyBorder="1" applyAlignment="1">
      <alignment vertical="top" wrapText="1"/>
    </xf>
    <xf numFmtId="0" fontId="5" fillId="6" borderId="6"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6" xfId="0" applyFont="1" applyFill="1" applyBorder="1" applyAlignment="1">
      <alignment horizontal="left" vertical="center" wrapText="1"/>
    </xf>
    <xf numFmtId="0" fontId="4" fillId="5" borderId="1" xfId="0" applyFont="1" applyFill="1" applyBorder="1" applyAlignment="1">
      <alignment horizontal="left" vertical="top" wrapText="1"/>
    </xf>
    <xf numFmtId="3" fontId="4" fillId="2" borderId="1" xfId="0" applyNumberFormat="1" applyFont="1" applyFill="1" applyBorder="1" applyAlignment="1">
      <alignment horizontal="center" vertical="center" wrapText="1"/>
    </xf>
    <xf numFmtId="3" fontId="7" fillId="0" borderId="1" xfId="0" applyNumberFormat="1" applyFont="1" applyBorder="1" applyAlignment="1">
      <alignment vertical="center" wrapText="1"/>
    </xf>
    <xf numFmtId="0" fontId="9" fillId="7" borderId="4" xfId="0" applyFont="1" applyFill="1" applyBorder="1" applyAlignment="1">
      <alignment horizontal="right" vertical="top" wrapText="1"/>
    </xf>
    <xf numFmtId="0" fontId="5" fillId="7" borderId="1" xfId="0" applyFont="1" applyFill="1" applyBorder="1" applyAlignment="1">
      <alignment horizontal="center" vertical="top" wrapText="1"/>
    </xf>
    <xf numFmtId="0" fontId="10" fillId="7" borderId="1" xfId="0" applyFont="1" applyFill="1" applyBorder="1" applyAlignment="1">
      <alignment vertical="top" wrapText="1"/>
    </xf>
    <xf numFmtId="0" fontId="10" fillId="7" borderId="1" xfId="0" applyFont="1" applyFill="1" applyBorder="1" applyAlignment="1">
      <alignment horizontal="center" vertical="top" wrapText="1"/>
    </xf>
    <xf numFmtId="0" fontId="10" fillId="7" borderId="1" xfId="0" applyFont="1" applyFill="1" applyBorder="1" applyAlignment="1">
      <alignment horizontal="center" vertical="center" wrapText="1"/>
    </xf>
    <xf numFmtId="3" fontId="9" fillId="7" borderId="1" xfId="0" applyNumberFormat="1" applyFont="1" applyFill="1" applyBorder="1" applyAlignment="1">
      <alignment horizontal="center" vertical="center" wrapText="1"/>
    </xf>
    <xf numFmtId="0" fontId="11" fillId="7" borderId="4" xfId="0" applyFont="1" applyFill="1" applyBorder="1" applyAlignment="1">
      <alignment horizontal="right" vertical="top" wrapText="1"/>
    </xf>
    <xf numFmtId="0" fontId="12" fillId="7" borderId="1" xfId="0" applyFont="1" applyFill="1" applyBorder="1" applyAlignment="1">
      <alignment vertical="top" wrapText="1"/>
    </xf>
    <xf numFmtId="0" fontId="12" fillId="7" borderId="1" xfId="0" applyFont="1" applyFill="1" applyBorder="1" applyAlignment="1">
      <alignment horizontal="center" vertical="top" wrapText="1"/>
    </xf>
    <xf numFmtId="0" fontId="12" fillId="7" borderId="1" xfId="0" applyFont="1" applyFill="1" applyBorder="1" applyAlignment="1">
      <alignment horizontal="center" vertical="center" wrapText="1"/>
    </xf>
    <xf numFmtId="3" fontId="11" fillId="7" borderId="1" xfId="0" applyNumberFormat="1" applyFont="1" applyFill="1" applyBorder="1" applyAlignment="1">
      <alignment horizontal="center" vertical="center" wrapText="1"/>
    </xf>
    <xf numFmtId="0" fontId="4" fillId="7" borderId="1" xfId="0" applyFont="1" applyFill="1" applyBorder="1" applyAlignment="1">
      <alignment vertical="top" wrapText="1"/>
    </xf>
    <xf numFmtId="0" fontId="4" fillId="7" borderId="1" xfId="0" applyFont="1" applyFill="1" applyBorder="1" applyAlignment="1">
      <alignment horizontal="center" vertical="top" wrapText="1"/>
    </xf>
    <xf numFmtId="0" fontId="5" fillId="2" borderId="0"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11" fillId="2" borderId="4" xfId="0" applyFont="1" applyFill="1" applyBorder="1" applyAlignment="1">
      <alignment horizontal="right" vertical="top" wrapText="1"/>
    </xf>
    <xf numFmtId="0" fontId="12" fillId="2" borderId="1" xfId="0" applyFont="1" applyFill="1" applyBorder="1" applyAlignment="1">
      <alignment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4" xfId="0" applyFont="1" applyFill="1" applyBorder="1" applyAlignment="1">
      <alignment vertical="center" wrapText="1"/>
    </xf>
    <xf numFmtId="0" fontId="11" fillId="8" borderId="5" xfId="0" applyFont="1" applyFill="1" applyBorder="1" applyAlignment="1">
      <alignment vertical="center" wrapText="1"/>
    </xf>
    <xf numFmtId="0" fontId="11" fillId="8" borderId="5" xfId="0" applyFont="1" applyFill="1" applyBorder="1" applyAlignment="1">
      <alignment horizontal="left" vertical="center" wrapText="1"/>
    </xf>
    <xf numFmtId="0" fontId="11" fillId="8" borderId="2" xfId="0" applyFont="1" applyFill="1" applyBorder="1" applyAlignment="1">
      <alignment horizontal="left" vertical="center" wrapText="1"/>
    </xf>
    <xf numFmtId="0" fontId="12" fillId="8" borderId="1" xfId="0" applyFont="1" applyFill="1" applyBorder="1" applyAlignment="1">
      <alignment horizontal="center" vertical="center" wrapText="1"/>
    </xf>
    <xf numFmtId="3" fontId="11" fillId="8" borderId="1" xfId="0" applyNumberFormat="1"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vertical="center" wrapText="1"/>
    </xf>
    <xf numFmtId="0" fontId="11" fillId="2" borderId="5" xfId="0" applyFont="1" applyFill="1" applyBorder="1" applyAlignment="1">
      <alignment vertical="center" wrapText="1"/>
    </xf>
    <xf numFmtId="0" fontId="12" fillId="2" borderId="1" xfId="0" applyFont="1" applyFill="1" applyBorder="1" applyAlignment="1">
      <alignment horizontal="left" vertical="top" wrapText="1"/>
    </xf>
    <xf numFmtId="0" fontId="11" fillId="2" borderId="6" xfId="0" applyFont="1" applyFill="1" applyBorder="1" applyAlignment="1">
      <alignment horizontal="left" vertical="center" wrapText="1"/>
    </xf>
    <xf numFmtId="3" fontId="11" fillId="2" borderId="6" xfId="0" applyNumberFormat="1" applyFont="1" applyFill="1" applyBorder="1" applyAlignment="1">
      <alignment horizontal="center" vertical="center" wrapText="1"/>
    </xf>
    <xf numFmtId="0" fontId="11" fillId="2" borderId="1" xfId="0" applyFont="1" applyFill="1" applyBorder="1" applyAlignment="1">
      <alignment horizontal="center" vertical="top" wrapText="1"/>
    </xf>
    <xf numFmtId="0" fontId="11" fillId="2" borderId="4" xfId="0" applyFont="1" applyFill="1" applyBorder="1" applyAlignment="1">
      <alignment vertical="top" wrapText="1"/>
    </xf>
    <xf numFmtId="0" fontId="11" fillId="2" borderId="5" xfId="0" applyFont="1" applyFill="1" applyBorder="1" applyAlignment="1">
      <alignment vertical="top" wrapText="1"/>
    </xf>
    <xf numFmtId="0" fontId="11" fillId="2" borderId="6" xfId="0" applyFont="1" applyFill="1" applyBorder="1" applyAlignment="1">
      <alignment horizontal="left" vertical="top" wrapText="1"/>
    </xf>
    <xf numFmtId="16" fontId="12" fillId="2" borderId="1" xfId="0" applyNumberFormat="1" applyFont="1" applyFill="1" applyBorder="1" applyAlignment="1">
      <alignment horizontal="center" vertical="top" wrapText="1"/>
    </xf>
    <xf numFmtId="0" fontId="12" fillId="2" borderId="3" xfId="0" applyFont="1" applyFill="1" applyBorder="1" applyAlignment="1">
      <alignment horizontal="center" vertical="top" wrapText="1"/>
    </xf>
    <xf numFmtId="3" fontId="13"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top" wrapText="1"/>
    </xf>
    <xf numFmtId="0" fontId="12" fillId="2" borderId="1" xfId="0" applyFont="1" applyFill="1" applyBorder="1" applyAlignment="1">
      <alignment horizontal="justify" vertical="top" wrapText="1"/>
    </xf>
    <xf numFmtId="0" fontId="13" fillId="2" borderId="1" xfId="3" applyFont="1" applyFill="1" applyBorder="1" applyAlignment="1">
      <alignment vertical="top" wrapText="1"/>
    </xf>
    <xf numFmtId="0" fontId="14" fillId="2" borderId="1" xfId="0" applyFont="1" applyFill="1" applyBorder="1" applyAlignment="1">
      <alignment horizontal="justify" vertical="top" wrapText="1"/>
    </xf>
    <xf numFmtId="0" fontId="11" fillId="8" borderId="1" xfId="0" applyFont="1" applyFill="1" applyBorder="1" applyAlignment="1">
      <alignment horizontal="center" vertical="top" wrapText="1"/>
    </xf>
    <xf numFmtId="0" fontId="11" fillId="8" borderId="4" xfId="0" applyFont="1" applyFill="1" applyBorder="1" applyAlignment="1">
      <alignment vertical="top" wrapText="1"/>
    </xf>
    <xf numFmtId="0" fontId="11" fillId="8" borderId="5" xfId="0" applyFont="1" applyFill="1" applyBorder="1" applyAlignment="1">
      <alignment vertical="top" wrapText="1"/>
    </xf>
    <xf numFmtId="0" fontId="11" fillId="8" borderId="6" xfId="0" applyFont="1" applyFill="1" applyBorder="1" applyAlignment="1">
      <alignment vertical="top" wrapText="1"/>
    </xf>
    <xf numFmtId="0" fontId="11" fillId="8" borderId="1" xfId="0" applyFont="1" applyFill="1" applyBorder="1" applyAlignment="1">
      <alignment horizontal="left" vertical="top" wrapText="1"/>
    </xf>
    <xf numFmtId="0" fontId="11" fillId="2" borderId="6" xfId="0" applyFont="1" applyFill="1" applyBorder="1" applyAlignment="1">
      <alignment vertical="top" wrapText="1"/>
    </xf>
    <xf numFmtId="3" fontId="12" fillId="2" borderId="4"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0" fontId="12" fillId="2" borderId="1" xfId="0" applyFont="1" applyFill="1" applyBorder="1" applyAlignment="1">
      <alignment horizontal="right" vertical="top" wrapText="1"/>
    </xf>
    <xf numFmtId="0" fontId="12" fillId="2" borderId="7" xfId="0" applyFont="1" applyFill="1" applyBorder="1" applyAlignment="1">
      <alignment horizontal="center" vertical="top" wrapText="1"/>
    </xf>
    <xf numFmtId="0" fontId="12" fillId="2" borderId="7" xfId="0" applyFont="1" applyFill="1" applyBorder="1" applyAlignment="1">
      <alignment horizontal="left" vertical="top" wrapText="1"/>
    </xf>
    <xf numFmtId="0" fontId="12" fillId="2" borderId="3" xfId="0" applyFont="1" applyFill="1" applyBorder="1" applyAlignment="1">
      <alignment horizontal="center" vertical="center" wrapText="1"/>
    </xf>
    <xf numFmtId="0" fontId="12"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12" fillId="2" borderId="4" xfId="0" applyFont="1" applyFill="1" applyBorder="1" applyAlignment="1">
      <alignment horizontal="right" vertical="top" wrapText="1"/>
    </xf>
    <xf numFmtId="0" fontId="11"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1" fillId="8" borderId="4" xfId="0" applyFont="1" applyFill="1" applyBorder="1" applyAlignment="1">
      <alignment horizontal="right" vertical="top" wrapText="1"/>
    </xf>
    <xf numFmtId="0" fontId="12" fillId="8" borderId="1" xfId="0" applyFont="1" applyFill="1" applyBorder="1" applyAlignment="1">
      <alignment vertical="top" wrapText="1"/>
    </xf>
    <xf numFmtId="0" fontId="12" fillId="8" borderId="1" xfId="0" applyFont="1" applyFill="1" applyBorder="1" applyAlignment="1">
      <alignment horizontal="center" vertical="top" wrapText="1"/>
    </xf>
    <xf numFmtId="3" fontId="4" fillId="2" borderId="1" xfId="0" applyNumberFormat="1" applyFont="1" applyFill="1" applyBorder="1" applyAlignment="1">
      <alignment horizontal="center" vertical="center" wrapText="1"/>
    </xf>
    <xf numFmtId="16" fontId="4" fillId="2" borderId="1" xfId="0" applyNumberFormat="1" applyFont="1" applyFill="1" applyBorder="1" applyAlignment="1">
      <alignment horizontal="center" vertical="top" wrapText="1"/>
    </xf>
    <xf numFmtId="0" fontId="4" fillId="9" borderId="1"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7"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3" fontId="7" fillId="0" borderId="1" xfId="0" applyNumberFormat="1" applyFont="1" applyFill="1" applyBorder="1" applyAlignment="1">
      <alignment vertical="center" wrapText="1"/>
    </xf>
    <xf numFmtId="3" fontId="7"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49" fontId="4" fillId="0" borderId="7" xfId="0" applyNumberFormat="1"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2" borderId="7"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4" xfId="0" applyFont="1" applyFill="1" applyBorder="1" applyAlignment="1">
      <alignment horizontal="center" vertical="top" wrapText="1"/>
    </xf>
    <xf numFmtId="3" fontId="5" fillId="5" borderId="6" xfId="0" applyNumberFormat="1" applyFont="1" applyFill="1" applyBorder="1" applyAlignment="1">
      <alignment horizontal="center" vertical="center" wrapText="1"/>
    </xf>
    <xf numFmtId="0" fontId="4" fillId="0" borderId="7" xfId="0"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0" fontId="4" fillId="0" borderId="7" xfId="0" applyFont="1" applyFill="1" applyBorder="1" applyAlignment="1">
      <alignment horizontal="left" vertical="top" wrapText="1"/>
    </xf>
    <xf numFmtId="14" fontId="4"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3" fontId="9" fillId="5" borderId="6"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3" fontId="9" fillId="5" borderId="1" xfId="0" applyNumberFormat="1" applyFont="1" applyFill="1" applyBorder="1" applyAlignment="1">
      <alignment horizontal="center" vertical="center" wrapText="1"/>
    </xf>
    <xf numFmtId="3" fontId="16" fillId="0" borderId="1" xfId="0" applyNumberFormat="1" applyFont="1" applyBorder="1" applyAlignment="1">
      <alignment horizontal="center" vertical="center" wrapText="1"/>
    </xf>
    <xf numFmtId="3" fontId="10" fillId="0"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1" fontId="10" fillId="5" borderId="1" xfId="0" applyNumberFormat="1"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3" fontId="9" fillId="4" borderId="1"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3" fontId="9" fillId="6" borderId="6" xfId="0" applyNumberFormat="1" applyFont="1" applyFill="1" applyBorder="1" applyAlignment="1">
      <alignment horizontal="center" vertical="center" wrapText="1"/>
    </xf>
    <xf numFmtId="0" fontId="4" fillId="0" borderId="7" xfId="0" applyFont="1" applyFill="1" applyBorder="1" applyAlignment="1">
      <alignment horizontal="center" vertical="top" wrapText="1"/>
    </xf>
    <xf numFmtId="0" fontId="4" fillId="0" borderId="7"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6" xfId="0" applyFont="1" applyFill="1" applyBorder="1" applyAlignment="1">
      <alignment horizontal="left" vertical="top" wrapText="1"/>
    </xf>
    <xf numFmtId="0" fontId="9" fillId="0" borderId="6" xfId="0"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4" fillId="0" borderId="4" xfId="0" applyFont="1" applyFill="1" applyBorder="1" applyAlignment="1">
      <alignment horizontal="right" vertical="top" wrapText="1"/>
    </xf>
    <xf numFmtId="0" fontId="4" fillId="0" borderId="3" xfId="0"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7" xfId="0"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7" xfId="0" applyFont="1" applyFill="1" applyBorder="1" applyAlignment="1">
      <alignment horizontal="left" vertical="top" wrapText="1"/>
    </xf>
    <xf numFmtId="164" fontId="10" fillId="0" borderId="1" xfId="0" applyNumberFormat="1" applyFont="1" applyFill="1" applyBorder="1" applyAlignment="1">
      <alignment horizontal="center" vertical="center" wrapText="1"/>
    </xf>
    <xf numFmtId="3" fontId="9" fillId="5" borderId="6"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164" fontId="10" fillId="2" borderId="3"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0" fillId="2" borderId="3" xfId="0" applyNumberFormat="1"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164" fontId="10" fillId="0" borderId="3"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7" xfId="0" applyFont="1" applyFill="1" applyBorder="1" applyAlignment="1">
      <alignment horizontal="center" vertical="top" wrapText="1"/>
    </xf>
    <xf numFmtId="49" fontId="4" fillId="0" borderId="8" xfId="0" applyNumberFormat="1" applyFont="1" applyFill="1" applyBorder="1" applyAlignment="1">
      <alignment horizontal="center" vertical="top"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3" fontId="16" fillId="0" borderId="4" xfId="0" applyNumberFormat="1" applyFont="1" applyBorder="1" applyAlignment="1">
      <alignment horizontal="center" vertical="center" wrapText="1"/>
    </xf>
    <xf numFmtId="3" fontId="16" fillId="0" borderId="6" xfId="0" applyNumberFormat="1" applyFont="1" applyBorder="1" applyAlignment="1">
      <alignment horizontal="center" vertical="center" wrapText="1"/>
    </xf>
    <xf numFmtId="3" fontId="10" fillId="0" borderId="4" xfId="0" applyNumberFormat="1"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3" fontId="10" fillId="2" borderId="6" xfId="0" applyNumberFormat="1" applyFont="1" applyFill="1" applyBorder="1" applyAlignment="1">
      <alignment horizontal="center" vertical="center" wrapText="1"/>
    </xf>
    <xf numFmtId="3" fontId="16" fillId="2" borderId="4" xfId="0" applyNumberFormat="1" applyFont="1" applyFill="1" applyBorder="1" applyAlignment="1">
      <alignment horizontal="center" vertical="center" wrapText="1"/>
    </xf>
    <xf numFmtId="3" fontId="16" fillId="2" borderId="6" xfId="0" applyNumberFormat="1" applyFont="1" applyFill="1" applyBorder="1" applyAlignment="1">
      <alignment horizontal="center"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3" fontId="16" fillId="0" borderId="4" xfId="0" applyNumberFormat="1" applyFont="1" applyFill="1" applyBorder="1" applyAlignment="1">
      <alignment horizontal="center" vertical="center" wrapText="1"/>
    </xf>
    <xf numFmtId="3" fontId="16" fillId="0" borderId="6"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6" xfId="0" applyFont="1" applyFill="1" applyBorder="1" applyAlignment="1">
      <alignment horizontal="center" vertical="center" wrapText="1"/>
    </xf>
    <xf numFmtId="3" fontId="10" fillId="0" borderId="4"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3" fontId="9" fillId="5" borderId="4" xfId="0" applyNumberFormat="1" applyFont="1" applyFill="1" applyBorder="1" applyAlignment="1">
      <alignment horizontal="center" vertical="center" wrapText="1"/>
    </xf>
    <xf numFmtId="3" fontId="9" fillId="5" borderId="6" xfId="0" applyNumberFormat="1" applyFont="1" applyFill="1" applyBorder="1" applyAlignment="1">
      <alignment horizontal="center" vertical="center" wrapText="1"/>
    </xf>
    <xf numFmtId="0" fontId="4" fillId="2" borderId="3" xfId="0" applyFont="1" applyFill="1" applyBorder="1" applyAlignment="1">
      <alignment horizontal="center" vertical="top" wrapText="1"/>
    </xf>
    <xf numFmtId="0" fontId="4" fillId="2" borderId="7" xfId="0" applyFont="1" applyFill="1" applyBorder="1" applyAlignment="1">
      <alignment horizontal="center" vertical="top" wrapText="1"/>
    </xf>
    <xf numFmtId="3" fontId="10" fillId="0" borderId="9"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3" fontId="10" fillId="0" borderId="15" xfId="0" applyNumberFormat="1" applyFont="1" applyFill="1" applyBorder="1" applyAlignment="1">
      <alignment horizontal="center" vertical="center" wrapText="1"/>
    </xf>
    <xf numFmtId="0" fontId="4" fillId="0" borderId="0" xfId="0" applyFont="1" applyFill="1" applyAlignment="1">
      <alignment horizontal="right" vertical="top"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3" fontId="4" fillId="2" borderId="6" xfId="0" applyNumberFormat="1" applyFont="1" applyFill="1" applyBorder="1" applyAlignment="1">
      <alignment horizontal="center" vertical="center" wrapText="1"/>
    </xf>
    <xf numFmtId="0" fontId="5" fillId="2" borderId="3"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5" xfId="0" applyFont="1" applyFill="1" applyBorder="1" applyAlignment="1">
      <alignment horizontal="center" vertical="top" wrapText="1"/>
    </xf>
    <xf numFmtId="3" fontId="10" fillId="2" borderId="9" xfId="0" applyNumberFormat="1" applyFont="1" applyFill="1" applyBorder="1" applyAlignment="1">
      <alignment horizontal="center" vertical="center" wrapText="1"/>
    </xf>
    <xf numFmtId="3" fontId="10" fillId="2" borderId="11" xfId="0" applyNumberFormat="1" applyFont="1" applyFill="1" applyBorder="1" applyAlignment="1">
      <alignment horizontal="center" vertical="center" wrapText="1"/>
    </xf>
    <xf numFmtId="3" fontId="10" fillId="2" borderId="12" xfId="0" applyNumberFormat="1" applyFont="1" applyFill="1" applyBorder="1" applyAlignment="1">
      <alignment horizontal="center" vertical="center" wrapText="1"/>
    </xf>
    <xf numFmtId="3" fontId="10" fillId="2" borderId="13" xfId="0" applyNumberFormat="1" applyFont="1" applyFill="1" applyBorder="1" applyAlignment="1">
      <alignment horizontal="center" vertical="center" wrapText="1"/>
    </xf>
    <xf numFmtId="3" fontId="10" fillId="2" borderId="14" xfId="0" applyNumberFormat="1" applyFont="1" applyFill="1" applyBorder="1" applyAlignment="1">
      <alignment horizontal="center" vertical="center" wrapText="1"/>
    </xf>
    <xf numFmtId="3" fontId="10" fillId="2" borderId="15" xfId="0" applyNumberFormat="1"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16" fontId="4" fillId="0" borderId="3" xfId="0" applyNumberFormat="1"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5" borderId="1" xfId="0" applyFont="1" applyFill="1" applyBorder="1" applyAlignment="1">
      <alignment horizontal="left" vertical="center" wrapText="1"/>
    </xf>
    <xf numFmtId="3" fontId="12" fillId="2" borderId="4"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164" fontId="12" fillId="2" borderId="4" xfId="0" applyNumberFormat="1" applyFont="1" applyFill="1" applyBorder="1" applyAlignment="1">
      <alignment horizontal="center" vertical="center" wrapText="1"/>
    </xf>
    <xf numFmtId="164" fontId="12" fillId="2" borderId="6"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3" fontId="13" fillId="2" borderId="6"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3" fontId="12" fillId="2" borderId="9" xfId="0" applyNumberFormat="1" applyFont="1" applyFill="1" applyBorder="1" applyAlignment="1">
      <alignment horizontal="center" vertical="center" wrapText="1"/>
    </xf>
    <xf numFmtId="3" fontId="12" fillId="2" borderId="11" xfId="0" applyNumberFormat="1"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3" fontId="12" fillId="2" borderId="13" xfId="0" applyNumberFormat="1" applyFont="1" applyFill="1" applyBorder="1" applyAlignment="1">
      <alignment horizontal="center" vertical="center" wrapText="1"/>
    </xf>
    <xf numFmtId="3" fontId="12" fillId="2" borderId="14" xfId="0" applyNumberFormat="1" applyFont="1" applyFill="1" applyBorder="1" applyAlignment="1">
      <alignment horizontal="center" vertical="center" wrapText="1"/>
    </xf>
    <xf numFmtId="3" fontId="12" fillId="2" borderId="15"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2" fillId="2" borderId="3" xfId="0" applyFont="1" applyFill="1" applyBorder="1" applyAlignment="1">
      <alignment horizontal="right" vertical="top" wrapText="1"/>
    </xf>
    <xf numFmtId="0" fontId="12" fillId="2" borderId="8" xfId="0" applyFont="1" applyFill="1" applyBorder="1" applyAlignment="1">
      <alignment horizontal="right" vertical="top" wrapText="1"/>
    </xf>
    <xf numFmtId="0" fontId="12" fillId="2" borderId="7" xfId="0" applyFont="1" applyFill="1" applyBorder="1" applyAlignment="1">
      <alignment horizontal="right" vertical="top" wrapText="1"/>
    </xf>
    <xf numFmtId="0" fontId="12" fillId="2" borderId="3"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3"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center" vertical="top" wrapText="1"/>
    </xf>
    <xf numFmtId="0" fontId="12" fillId="2" borderId="8" xfId="0" applyFont="1" applyFill="1" applyBorder="1" applyAlignment="1">
      <alignment horizontal="left" vertical="top" wrapText="1"/>
    </xf>
    <xf numFmtId="0" fontId="11" fillId="2" borderId="3"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14"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5" xfId="0" applyFont="1" applyFill="1" applyBorder="1" applyAlignment="1">
      <alignment horizontal="center" vertical="top" wrapText="1"/>
    </xf>
    <xf numFmtId="3" fontId="11" fillId="2" borderId="9" xfId="0" applyNumberFormat="1" applyFont="1" applyFill="1" applyBorder="1" applyAlignment="1">
      <alignment horizontal="center" vertical="center" wrapText="1"/>
    </xf>
    <xf numFmtId="3" fontId="11" fillId="2" borderId="10" xfId="0" applyNumberFormat="1" applyFont="1" applyFill="1" applyBorder="1" applyAlignment="1">
      <alignment horizontal="center" vertical="center" wrapText="1"/>
    </xf>
    <xf numFmtId="3" fontId="11" fillId="2" borderId="11" xfId="0" applyNumberFormat="1" applyFont="1" applyFill="1" applyBorder="1" applyAlignment="1">
      <alignment horizontal="center" vertical="center" wrapText="1"/>
    </xf>
  </cellXfs>
  <cellStyles count="6">
    <cellStyle name="Обычный" xfId="0" builtinId="0"/>
    <cellStyle name="Обычный 2" xfId="2"/>
    <cellStyle name="Обычный 3" xfId="1"/>
    <cellStyle name="Обычный 3 2" xfId="4"/>
    <cellStyle name="Обычный 4" xfId="3"/>
    <cellStyle name="Обычный 4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'итог (2)'!$Z$106</c:f>
              <c:strCache>
                <c:ptCount val="1"/>
                <c:pt idx="0">
                  <c:v>всего, в том числе</c:v>
                </c:pt>
              </c:strCache>
            </c:strRef>
          </c:tx>
          <c:invertIfNegative val="0"/>
          <c:cat>
            <c:strRef>
              <c:f>'итог (2)'!$Y$107:$Y$110</c:f>
              <c:strCache>
                <c:ptCount val="4"/>
                <c:pt idx="0">
                  <c:v>2018 год</c:v>
                </c:pt>
                <c:pt idx="1">
                  <c:v>2019 год</c:v>
                </c:pt>
                <c:pt idx="2">
                  <c:v>2020 год</c:v>
                </c:pt>
                <c:pt idx="3">
                  <c:v>всего</c:v>
                </c:pt>
              </c:strCache>
            </c:strRef>
          </c:cat>
          <c:val>
            <c:numRef>
              <c:f>'итог (2)'!$Z$107:$Z$110</c:f>
              <c:numCache>
                <c:formatCode>#,##0</c:formatCode>
                <c:ptCount val="4"/>
                <c:pt idx="0">
                  <c:v>53103.527993820004</c:v>
                </c:pt>
                <c:pt idx="1">
                  <c:v>39052.077429954283</c:v>
                </c:pt>
                <c:pt idx="2" formatCode="General">
                  <c:v>40672.077429954283</c:v>
                </c:pt>
                <c:pt idx="3">
                  <c:v>132827.68285372856</c:v>
                </c:pt>
              </c:numCache>
            </c:numRef>
          </c:val>
          <c:extLst xmlns:c16r2="http://schemas.microsoft.com/office/drawing/2015/06/chart">
            <c:ext xmlns:c16="http://schemas.microsoft.com/office/drawing/2014/chart" uri="{C3380CC4-5D6E-409C-BE32-E72D297353CC}">
              <c16:uniqueId val="{00000000-6E3A-40C5-8991-94292B60252D}"/>
            </c:ext>
          </c:extLst>
        </c:ser>
        <c:ser>
          <c:idx val="1"/>
          <c:order val="1"/>
          <c:tx>
            <c:strRef>
              <c:f>'итог (2)'!$AA$106</c:f>
              <c:strCache>
                <c:ptCount val="1"/>
                <c:pt idx="0">
                  <c:v>местный бюджет</c:v>
                </c:pt>
              </c:strCache>
            </c:strRef>
          </c:tx>
          <c:invertIfNegative val="0"/>
          <c:cat>
            <c:strRef>
              <c:f>'итог (2)'!$Y$107:$Y$110</c:f>
              <c:strCache>
                <c:ptCount val="4"/>
                <c:pt idx="0">
                  <c:v>2018 год</c:v>
                </c:pt>
                <c:pt idx="1">
                  <c:v>2019 год</c:v>
                </c:pt>
                <c:pt idx="2">
                  <c:v>2020 год</c:v>
                </c:pt>
                <c:pt idx="3">
                  <c:v>всего</c:v>
                </c:pt>
              </c:strCache>
            </c:strRef>
          </c:cat>
          <c:val>
            <c:numRef>
              <c:f>'итог (2)'!$AA$107:$AA$110</c:f>
              <c:numCache>
                <c:formatCode>General</c:formatCode>
                <c:ptCount val="4"/>
                <c:pt idx="0">
                  <c:v>31267</c:v>
                </c:pt>
                <c:pt idx="1">
                  <c:v>24730</c:v>
                </c:pt>
                <c:pt idx="2">
                  <c:v>26350</c:v>
                </c:pt>
                <c:pt idx="3">
                  <c:v>82347</c:v>
                </c:pt>
              </c:numCache>
            </c:numRef>
          </c:val>
          <c:extLst xmlns:c16r2="http://schemas.microsoft.com/office/drawing/2015/06/chart">
            <c:ext xmlns:c16="http://schemas.microsoft.com/office/drawing/2014/chart" uri="{C3380CC4-5D6E-409C-BE32-E72D297353CC}">
              <c16:uniqueId val="{00000001-6E3A-40C5-8991-94292B60252D}"/>
            </c:ext>
          </c:extLst>
        </c:ser>
        <c:ser>
          <c:idx val="2"/>
          <c:order val="2"/>
          <c:tx>
            <c:strRef>
              <c:f>'итог (2)'!$AB$106</c:f>
              <c:strCache>
                <c:ptCount val="1"/>
                <c:pt idx="0">
                  <c:v>межбюджетные трансферты</c:v>
                </c:pt>
              </c:strCache>
            </c:strRef>
          </c:tx>
          <c:invertIfNegative val="0"/>
          <c:cat>
            <c:strRef>
              <c:f>'итог (2)'!$Y$107:$Y$110</c:f>
              <c:strCache>
                <c:ptCount val="4"/>
                <c:pt idx="0">
                  <c:v>2018 год</c:v>
                </c:pt>
                <c:pt idx="1">
                  <c:v>2019 год</c:v>
                </c:pt>
                <c:pt idx="2">
                  <c:v>2020 год</c:v>
                </c:pt>
                <c:pt idx="3">
                  <c:v>всего</c:v>
                </c:pt>
              </c:strCache>
            </c:strRef>
          </c:cat>
          <c:val>
            <c:numRef>
              <c:f>'итог (2)'!$AB$107:$AB$110</c:f>
              <c:numCache>
                <c:formatCode>#,##0</c:formatCode>
                <c:ptCount val="4"/>
                <c:pt idx="0">
                  <c:v>21836.527993820004</c:v>
                </c:pt>
                <c:pt idx="1">
                  <c:v>14322.077429954283</c:v>
                </c:pt>
                <c:pt idx="2">
                  <c:v>14322.077429954283</c:v>
                </c:pt>
                <c:pt idx="3">
                  <c:v>50480.682853728562</c:v>
                </c:pt>
              </c:numCache>
            </c:numRef>
          </c:val>
          <c:extLst xmlns:c16r2="http://schemas.microsoft.com/office/drawing/2015/06/chart">
            <c:ext xmlns:c16="http://schemas.microsoft.com/office/drawing/2014/chart" uri="{C3380CC4-5D6E-409C-BE32-E72D297353CC}">
              <c16:uniqueId val="{00000002-6E3A-40C5-8991-94292B60252D}"/>
            </c:ext>
          </c:extLst>
        </c:ser>
        <c:dLbls>
          <c:showLegendKey val="0"/>
          <c:showVal val="0"/>
          <c:showCatName val="0"/>
          <c:showSerName val="0"/>
          <c:showPercent val="0"/>
          <c:showBubbleSize val="0"/>
        </c:dLbls>
        <c:gapWidth val="150"/>
        <c:axId val="100824576"/>
        <c:axId val="100868672"/>
      </c:barChart>
      <c:catAx>
        <c:axId val="100824576"/>
        <c:scaling>
          <c:orientation val="minMax"/>
        </c:scaling>
        <c:delete val="0"/>
        <c:axPos val="b"/>
        <c:numFmt formatCode="General" sourceLinked="0"/>
        <c:majorTickMark val="out"/>
        <c:minorTickMark val="none"/>
        <c:tickLblPos val="nextTo"/>
        <c:crossAx val="100868672"/>
        <c:crosses val="autoZero"/>
        <c:auto val="1"/>
        <c:lblAlgn val="ctr"/>
        <c:lblOffset val="100"/>
        <c:noMultiLvlLbl val="0"/>
      </c:catAx>
      <c:valAx>
        <c:axId val="100868672"/>
        <c:scaling>
          <c:orientation val="minMax"/>
        </c:scaling>
        <c:delete val="0"/>
        <c:axPos val="l"/>
        <c:majorGridlines/>
        <c:numFmt formatCode="#,##0" sourceLinked="1"/>
        <c:majorTickMark val="out"/>
        <c:minorTickMark val="none"/>
        <c:tickLblPos val="nextTo"/>
        <c:crossAx val="100824576"/>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'итог (2)'!$Z$106</c:f>
              <c:strCache>
                <c:ptCount val="1"/>
                <c:pt idx="0">
                  <c:v>всего, в том числе</c:v>
                </c:pt>
              </c:strCache>
            </c:strRef>
          </c:tx>
          <c:invertIfNegative val="0"/>
          <c:cat>
            <c:strRef>
              <c:f>'итог (2)'!$Y$107:$Y$110</c:f>
              <c:strCache>
                <c:ptCount val="4"/>
                <c:pt idx="0">
                  <c:v>2018 год</c:v>
                </c:pt>
                <c:pt idx="1">
                  <c:v>2019 год</c:v>
                </c:pt>
                <c:pt idx="2">
                  <c:v>2020 год</c:v>
                </c:pt>
                <c:pt idx="3">
                  <c:v>всего</c:v>
                </c:pt>
              </c:strCache>
            </c:strRef>
          </c:cat>
          <c:val>
            <c:numRef>
              <c:f>'итог (2)'!$Z$107:$Z$110</c:f>
              <c:numCache>
                <c:formatCode>#,##0</c:formatCode>
                <c:ptCount val="4"/>
                <c:pt idx="0">
                  <c:v>53103.527993820004</c:v>
                </c:pt>
                <c:pt idx="1">
                  <c:v>39052.077429954283</c:v>
                </c:pt>
                <c:pt idx="2" formatCode="General">
                  <c:v>40672.077429954283</c:v>
                </c:pt>
                <c:pt idx="3">
                  <c:v>132827.68285372856</c:v>
                </c:pt>
              </c:numCache>
            </c:numRef>
          </c:val>
          <c:extLst xmlns:c16r2="http://schemas.microsoft.com/office/drawing/2015/06/chart">
            <c:ext xmlns:c16="http://schemas.microsoft.com/office/drawing/2014/chart" uri="{C3380CC4-5D6E-409C-BE32-E72D297353CC}">
              <c16:uniqueId val="{00000000-ED79-4348-A82E-B90163A3A546}"/>
            </c:ext>
          </c:extLst>
        </c:ser>
        <c:ser>
          <c:idx val="1"/>
          <c:order val="1"/>
          <c:tx>
            <c:strRef>
              <c:f>'итог (2)'!$AA$106</c:f>
              <c:strCache>
                <c:ptCount val="1"/>
                <c:pt idx="0">
                  <c:v>местный бюджет</c:v>
                </c:pt>
              </c:strCache>
            </c:strRef>
          </c:tx>
          <c:invertIfNegative val="0"/>
          <c:cat>
            <c:strRef>
              <c:f>'итог (2)'!$Y$107:$Y$110</c:f>
              <c:strCache>
                <c:ptCount val="4"/>
                <c:pt idx="0">
                  <c:v>2018 год</c:v>
                </c:pt>
                <c:pt idx="1">
                  <c:v>2019 год</c:v>
                </c:pt>
                <c:pt idx="2">
                  <c:v>2020 год</c:v>
                </c:pt>
                <c:pt idx="3">
                  <c:v>всего</c:v>
                </c:pt>
              </c:strCache>
            </c:strRef>
          </c:cat>
          <c:val>
            <c:numRef>
              <c:f>'итог (2)'!$AA$107:$AA$110</c:f>
              <c:numCache>
                <c:formatCode>General</c:formatCode>
                <c:ptCount val="4"/>
                <c:pt idx="0">
                  <c:v>31267</c:v>
                </c:pt>
                <c:pt idx="1">
                  <c:v>24730</c:v>
                </c:pt>
                <c:pt idx="2">
                  <c:v>26350</c:v>
                </c:pt>
                <c:pt idx="3">
                  <c:v>82347</c:v>
                </c:pt>
              </c:numCache>
            </c:numRef>
          </c:val>
          <c:extLst xmlns:c16r2="http://schemas.microsoft.com/office/drawing/2015/06/chart">
            <c:ext xmlns:c16="http://schemas.microsoft.com/office/drawing/2014/chart" uri="{C3380CC4-5D6E-409C-BE32-E72D297353CC}">
              <c16:uniqueId val="{00000001-ED79-4348-A82E-B90163A3A546}"/>
            </c:ext>
          </c:extLst>
        </c:ser>
        <c:ser>
          <c:idx val="2"/>
          <c:order val="2"/>
          <c:tx>
            <c:strRef>
              <c:f>'итог (2)'!$AB$106</c:f>
              <c:strCache>
                <c:ptCount val="1"/>
                <c:pt idx="0">
                  <c:v>межбюджетные трансферты</c:v>
                </c:pt>
              </c:strCache>
            </c:strRef>
          </c:tx>
          <c:invertIfNegative val="0"/>
          <c:cat>
            <c:strRef>
              <c:f>'итог (2)'!$Y$107:$Y$110</c:f>
              <c:strCache>
                <c:ptCount val="4"/>
                <c:pt idx="0">
                  <c:v>2018 год</c:v>
                </c:pt>
                <c:pt idx="1">
                  <c:v>2019 год</c:v>
                </c:pt>
                <c:pt idx="2">
                  <c:v>2020 год</c:v>
                </c:pt>
                <c:pt idx="3">
                  <c:v>всего</c:v>
                </c:pt>
              </c:strCache>
            </c:strRef>
          </c:cat>
          <c:val>
            <c:numRef>
              <c:f>'итог (2)'!$AB$107:$AB$110</c:f>
              <c:numCache>
                <c:formatCode>#,##0</c:formatCode>
                <c:ptCount val="4"/>
                <c:pt idx="0">
                  <c:v>21836.527993820004</c:v>
                </c:pt>
                <c:pt idx="1">
                  <c:v>14322.077429954283</c:v>
                </c:pt>
                <c:pt idx="2">
                  <c:v>14322.077429954283</c:v>
                </c:pt>
                <c:pt idx="3">
                  <c:v>50480.682853728562</c:v>
                </c:pt>
              </c:numCache>
            </c:numRef>
          </c:val>
          <c:extLst xmlns:c16r2="http://schemas.microsoft.com/office/drawing/2015/06/chart">
            <c:ext xmlns:c16="http://schemas.microsoft.com/office/drawing/2014/chart" uri="{C3380CC4-5D6E-409C-BE32-E72D297353CC}">
              <c16:uniqueId val="{00000002-ED79-4348-A82E-B90163A3A546}"/>
            </c:ext>
          </c:extLst>
        </c:ser>
        <c:dLbls>
          <c:showLegendKey val="0"/>
          <c:showVal val="0"/>
          <c:showCatName val="0"/>
          <c:showSerName val="0"/>
          <c:showPercent val="0"/>
          <c:showBubbleSize val="0"/>
        </c:dLbls>
        <c:gapWidth val="150"/>
        <c:axId val="100825600"/>
        <c:axId val="100870976"/>
      </c:barChart>
      <c:catAx>
        <c:axId val="100825600"/>
        <c:scaling>
          <c:orientation val="minMax"/>
        </c:scaling>
        <c:delete val="0"/>
        <c:axPos val="b"/>
        <c:numFmt formatCode="General" sourceLinked="0"/>
        <c:majorTickMark val="out"/>
        <c:minorTickMark val="none"/>
        <c:tickLblPos val="nextTo"/>
        <c:crossAx val="100870976"/>
        <c:crosses val="autoZero"/>
        <c:auto val="1"/>
        <c:lblAlgn val="ctr"/>
        <c:lblOffset val="100"/>
        <c:noMultiLvlLbl val="0"/>
      </c:catAx>
      <c:valAx>
        <c:axId val="100870976"/>
        <c:scaling>
          <c:orientation val="minMax"/>
        </c:scaling>
        <c:delete val="0"/>
        <c:axPos val="l"/>
        <c:majorGridlines/>
        <c:numFmt formatCode="#,##0" sourceLinked="1"/>
        <c:majorTickMark val="out"/>
        <c:minorTickMark val="none"/>
        <c:tickLblPos val="nextTo"/>
        <c:crossAx val="100825600"/>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trendline>
            <c:trendlineType val="linear"/>
            <c:dispRSqr val="0"/>
            <c:dispEq val="0"/>
          </c:trendline>
          <c:cat>
            <c:strRef>
              <c:f>Лист1!$B$4:$C$4</c:f>
              <c:strCache>
                <c:ptCount val="2"/>
                <c:pt idx="0">
                  <c:v>2014 год</c:v>
                </c:pt>
                <c:pt idx="1">
                  <c:v>2016 год</c:v>
                </c:pt>
              </c:strCache>
            </c:strRef>
          </c:cat>
          <c:val>
            <c:numRef>
              <c:f>Лист1!$B$5:$C$5</c:f>
              <c:numCache>
                <c:formatCode>General</c:formatCode>
                <c:ptCount val="2"/>
                <c:pt idx="0">
                  <c:v>178</c:v>
                </c:pt>
                <c:pt idx="1">
                  <c:v>7</c:v>
                </c:pt>
              </c:numCache>
            </c:numRef>
          </c:val>
          <c:extLst xmlns:c16r2="http://schemas.microsoft.com/office/drawing/2015/06/chart">
            <c:ext xmlns:c16="http://schemas.microsoft.com/office/drawing/2014/chart" uri="{C3380CC4-5D6E-409C-BE32-E72D297353CC}">
              <c16:uniqueId val="{00000000-0C88-45B4-B129-F285DEB5E67A}"/>
            </c:ext>
          </c:extLst>
        </c:ser>
        <c:dLbls>
          <c:showLegendKey val="0"/>
          <c:showVal val="0"/>
          <c:showCatName val="0"/>
          <c:showSerName val="0"/>
          <c:showPercent val="0"/>
          <c:showBubbleSize val="0"/>
        </c:dLbls>
        <c:gapWidth val="150"/>
        <c:axId val="104206336"/>
        <c:axId val="100873280"/>
      </c:barChart>
      <c:catAx>
        <c:axId val="104206336"/>
        <c:scaling>
          <c:orientation val="minMax"/>
        </c:scaling>
        <c:delete val="0"/>
        <c:axPos val="b"/>
        <c:numFmt formatCode="General" sourceLinked="0"/>
        <c:majorTickMark val="out"/>
        <c:minorTickMark val="none"/>
        <c:tickLblPos val="nextTo"/>
        <c:crossAx val="100873280"/>
        <c:crosses val="autoZero"/>
        <c:auto val="1"/>
        <c:lblAlgn val="ctr"/>
        <c:lblOffset val="100"/>
        <c:noMultiLvlLbl val="0"/>
      </c:catAx>
      <c:valAx>
        <c:axId val="100873280"/>
        <c:scaling>
          <c:orientation val="minMax"/>
        </c:scaling>
        <c:delete val="0"/>
        <c:axPos val="l"/>
        <c:majorGridlines/>
        <c:numFmt formatCode="General" sourceLinked="1"/>
        <c:majorTickMark val="out"/>
        <c:minorTickMark val="none"/>
        <c:tickLblPos val="nextTo"/>
        <c:crossAx val="104206336"/>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171450</xdr:colOff>
      <xdr:row>106</xdr:row>
      <xdr:rowOff>38100</xdr:rowOff>
    </xdr:from>
    <xdr:to>
      <xdr:col>22</xdr:col>
      <xdr:colOff>542924</xdr:colOff>
      <xdr:row>117</xdr:row>
      <xdr:rowOff>104774</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323850</xdr:colOff>
      <xdr:row>106</xdr:row>
      <xdr:rowOff>190500</xdr:rowOff>
    </xdr:from>
    <xdr:to>
      <xdr:col>23</xdr:col>
      <xdr:colOff>85724</xdr:colOff>
      <xdr:row>118</xdr:row>
      <xdr:rowOff>9524</xdr:rowOff>
    </xdr:to>
    <xdr:graphicFrame macro="">
      <xdr:nvGraphicFramePr>
        <xdr:cNvPr id="4" name="Диаграм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361950</xdr:colOff>
      <xdr:row>9</xdr:row>
      <xdr:rowOff>52387</xdr:rowOff>
    </xdr:from>
    <xdr:to>
      <xdr:col>16</xdr:col>
      <xdr:colOff>57150</xdr:colOff>
      <xdr:row>23</xdr:row>
      <xdr:rowOff>128587</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8"/>
  <sheetViews>
    <sheetView tabSelected="1" view="pageBreakPreview" topLeftCell="A46" zoomScale="60" zoomScaleNormal="100" workbookViewId="0">
      <selection activeCell="G1" sqref="G1:U1"/>
    </sheetView>
  </sheetViews>
  <sheetFormatPr defaultColWidth="9.140625" defaultRowHeight="18.75" x14ac:dyDescent="0.25"/>
  <cols>
    <col min="1" max="1" width="8.5703125" style="2" customWidth="1"/>
    <col min="2" max="2" width="111.5703125" style="1" customWidth="1"/>
    <col min="3" max="3" width="52.7109375" style="1" hidden="1" customWidth="1"/>
    <col min="4" max="4" width="16.5703125" style="1" customWidth="1"/>
    <col min="5" max="5" width="89.42578125" style="1" customWidth="1"/>
    <col min="6" max="6" width="49" style="1" customWidth="1"/>
    <col min="7" max="7" width="34.140625" style="2" customWidth="1"/>
    <col min="8" max="8" width="17.85546875" style="55" customWidth="1"/>
    <col min="9" max="9" width="16.85546875" style="55" customWidth="1"/>
    <col min="10" max="10" width="12.85546875" style="55" customWidth="1"/>
    <col min="11" max="11" width="14" style="55" customWidth="1"/>
    <col min="12" max="12" width="16.5703125" style="55" customWidth="1"/>
    <col min="13" max="13" width="16.7109375" style="55" customWidth="1"/>
    <col min="14" max="14" width="18" style="55" customWidth="1"/>
    <col min="15" max="15" width="18.42578125" style="55" customWidth="1"/>
    <col min="16" max="16" width="16.28515625" style="55" customWidth="1"/>
    <col min="17" max="17" width="14" style="55" customWidth="1"/>
    <col min="18" max="18" width="12.28515625" style="55" customWidth="1"/>
    <col min="19" max="19" width="14" style="55" customWidth="1"/>
    <col min="20" max="20" width="16.5703125" style="55" customWidth="1"/>
    <col min="21" max="21" width="16.42578125" style="55" customWidth="1"/>
    <col min="22" max="22" width="13.5703125" style="2" hidden="1" customWidth="1"/>
    <col min="23" max="23" width="9.140625" style="2" hidden="1" customWidth="1"/>
    <col min="24" max="28" width="0" style="2" hidden="1" customWidth="1"/>
    <col min="29" max="30" width="15.140625" style="2" bestFit="1" customWidth="1"/>
    <col min="31" max="16384" width="9.140625" style="2"/>
  </cols>
  <sheetData>
    <row r="1" spans="1:28" ht="133.5" customHeight="1" x14ac:dyDescent="0.25">
      <c r="G1" s="255" t="s">
        <v>598</v>
      </c>
      <c r="H1" s="255"/>
      <c r="I1" s="255"/>
      <c r="J1" s="255"/>
      <c r="K1" s="255"/>
      <c r="L1" s="255"/>
      <c r="M1" s="255"/>
      <c r="N1" s="255"/>
      <c r="O1" s="255"/>
      <c r="P1" s="255"/>
      <c r="Q1" s="255"/>
      <c r="R1" s="255"/>
      <c r="S1" s="255"/>
      <c r="T1" s="255"/>
      <c r="U1" s="255"/>
      <c r="V1" s="28"/>
    </row>
    <row r="2" spans="1:28" ht="30" customHeight="1" x14ac:dyDescent="0.25">
      <c r="A2" s="256" t="s">
        <v>107</v>
      </c>
      <c r="B2" s="256"/>
      <c r="C2" s="256"/>
      <c r="D2" s="256"/>
      <c r="E2" s="256"/>
      <c r="F2" s="257"/>
      <c r="G2" s="256"/>
      <c r="H2" s="256"/>
      <c r="I2" s="256"/>
      <c r="J2" s="256"/>
      <c r="K2" s="256"/>
      <c r="L2" s="256"/>
      <c r="M2" s="256"/>
      <c r="N2" s="256"/>
      <c r="O2" s="256"/>
      <c r="P2" s="256"/>
      <c r="Q2" s="256"/>
      <c r="R2" s="256"/>
      <c r="S2" s="256"/>
      <c r="T2" s="256"/>
      <c r="U2" s="256"/>
      <c r="V2" s="29"/>
      <c r="W2" s="3"/>
      <c r="X2" s="3"/>
      <c r="Y2" s="3"/>
      <c r="Z2" s="3"/>
      <c r="AA2" s="3"/>
      <c r="AB2" s="3"/>
    </row>
    <row r="3" spans="1:28" s="3" customFormat="1" ht="18.75" customHeight="1" x14ac:dyDescent="0.25">
      <c r="A3" s="262" t="s">
        <v>1</v>
      </c>
      <c r="B3" s="262" t="s">
        <v>124</v>
      </c>
      <c r="C3" s="262" t="s">
        <v>240</v>
      </c>
      <c r="D3" s="262" t="s">
        <v>13</v>
      </c>
      <c r="E3" s="265" t="s">
        <v>369</v>
      </c>
      <c r="F3" s="262" t="s">
        <v>184</v>
      </c>
      <c r="G3" s="268" t="s">
        <v>89</v>
      </c>
      <c r="H3" s="258"/>
      <c r="I3" s="258"/>
      <c r="J3" s="258"/>
      <c r="K3" s="258"/>
      <c r="L3" s="258"/>
      <c r="M3" s="258"/>
      <c r="N3" s="258"/>
      <c r="O3" s="258"/>
      <c r="P3" s="258"/>
      <c r="Q3" s="258"/>
      <c r="R3" s="258"/>
      <c r="S3" s="258"/>
      <c r="T3" s="258"/>
      <c r="U3" s="259"/>
      <c r="V3" s="29"/>
    </row>
    <row r="4" spans="1:28" s="3" customFormat="1" ht="77.25" customHeight="1" x14ac:dyDescent="0.25">
      <c r="A4" s="263"/>
      <c r="B4" s="263"/>
      <c r="C4" s="263"/>
      <c r="D4" s="263"/>
      <c r="E4" s="266"/>
      <c r="F4" s="263"/>
      <c r="G4" s="269"/>
      <c r="H4" s="260" t="s">
        <v>15</v>
      </c>
      <c r="I4" s="261"/>
      <c r="J4" s="260" t="s">
        <v>16</v>
      </c>
      <c r="K4" s="261"/>
      <c r="L4" s="260" t="s">
        <v>381</v>
      </c>
      <c r="M4" s="261"/>
      <c r="N4" s="260" t="s">
        <v>382</v>
      </c>
      <c r="O4" s="261"/>
      <c r="P4" s="260" t="s">
        <v>383</v>
      </c>
      <c r="Q4" s="261"/>
      <c r="R4" s="260" t="s">
        <v>384</v>
      </c>
      <c r="S4" s="261"/>
      <c r="T4" s="260" t="s">
        <v>457</v>
      </c>
      <c r="U4" s="261"/>
      <c r="V4" s="30"/>
    </row>
    <row r="5" spans="1:28" s="3" customFormat="1" ht="57.75" customHeight="1" x14ac:dyDescent="0.25">
      <c r="A5" s="264"/>
      <c r="B5" s="264"/>
      <c r="C5" s="264"/>
      <c r="D5" s="264"/>
      <c r="E5" s="267"/>
      <c r="F5" s="264"/>
      <c r="G5" s="270"/>
      <c r="H5" s="52" t="s">
        <v>123</v>
      </c>
      <c r="I5" s="76" t="s">
        <v>329</v>
      </c>
      <c r="J5" s="52" t="s">
        <v>123</v>
      </c>
      <c r="K5" s="76" t="s">
        <v>329</v>
      </c>
      <c r="L5" s="52" t="s">
        <v>123</v>
      </c>
      <c r="M5" s="144" t="s">
        <v>329</v>
      </c>
      <c r="N5" s="52" t="s">
        <v>123</v>
      </c>
      <c r="O5" s="144" t="s">
        <v>329</v>
      </c>
      <c r="P5" s="52" t="s">
        <v>123</v>
      </c>
      <c r="Q5" s="144" t="s">
        <v>329</v>
      </c>
      <c r="R5" s="52" t="s">
        <v>123</v>
      </c>
      <c r="S5" s="144" t="s">
        <v>329</v>
      </c>
      <c r="T5" s="52" t="s">
        <v>123</v>
      </c>
      <c r="U5" s="76" t="s">
        <v>329</v>
      </c>
      <c r="V5" s="30"/>
    </row>
    <row r="6" spans="1:28" s="5" customFormat="1" ht="20.25" customHeight="1" x14ac:dyDescent="0.25">
      <c r="A6" s="23" t="s">
        <v>2</v>
      </c>
      <c r="B6" s="44" t="s">
        <v>4</v>
      </c>
      <c r="C6" s="45"/>
      <c r="D6" s="45"/>
      <c r="E6" s="40"/>
      <c r="F6" s="51"/>
      <c r="G6" s="50"/>
      <c r="H6" s="53"/>
      <c r="I6" s="53"/>
      <c r="J6" s="53"/>
      <c r="K6" s="53"/>
      <c r="L6" s="53"/>
      <c r="M6" s="53"/>
      <c r="N6" s="53"/>
      <c r="O6" s="53"/>
      <c r="P6" s="53"/>
      <c r="Q6" s="53"/>
      <c r="R6" s="53"/>
      <c r="S6" s="53"/>
      <c r="T6" s="53"/>
      <c r="U6" s="53"/>
      <c r="V6" s="31"/>
      <c r="W6" s="24"/>
      <c r="X6" s="24"/>
      <c r="Y6" s="24"/>
      <c r="Z6" s="24"/>
      <c r="AA6" s="24"/>
      <c r="AB6" s="24"/>
    </row>
    <row r="7" spans="1:28" s="7" customFormat="1" ht="20.25" customHeight="1" x14ac:dyDescent="0.25">
      <c r="A7" s="72" t="s">
        <v>0</v>
      </c>
      <c r="B7" s="236" t="s">
        <v>62</v>
      </c>
      <c r="C7" s="237"/>
      <c r="D7" s="238"/>
      <c r="E7" s="74"/>
      <c r="F7" s="74"/>
      <c r="G7" s="64"/>
      <c r="H7" s="65" t="s">
        <v>163</v>
      </c>
      <c r="I7" s="65" t="s">
        <v>163</v>
      </c>
      <c r="J7" s="162" t="s">
        <v>163</v>
      </c>
      <c r="K7" s="162" t="s">
        <v>163</v>
      </c>
      <c r="L7" s="162" t="s">
        <v>163</v>
      </c>
      <c r="M7" s="162" t="s">
        <v>163</v>
      </c>
      <c r="N7" s="162" t="s">
        <v>163</v>
      </c>
      <c r="O7" s="162" t="s">
        <v>163</v>
      </c>
      <c r="P7" s="162" t="s">
        <v>163</v>
      </c>
      <c r="Q7" s="162" t="s">
        <v>163</v>
      </c>
      <c r="R7" s="162" t="s">
        <v>163</v>
      </c>
      <c r="S7" s="162" t="s">
        <v>163</v>
      </c>
      <c r="T7" s="162" t="s">
        <v>163</v>
      </c>
      <c r="U7" s="162" t="s">
        <v>163</v>
      </c>
      <c r="V7" s="32"/>
      <c r="W7" s="6"/>
      <c r="X7" s="6"/>
      <c r="Y7" s="6"/>
      <c r="Z7" s="6"/>
      <c r="AA7" s="6"/>
      <c r="AB7" s="6"/>
    </row>
    <row r="8" spans="1:28" s="12" customFormat="1" ht="243.75" customHeight="1" x14ac:dyDescent="0.25">
      <c r="A8" s="218" t="s">
        <v>7</v>
      </c>
      <c r="B8" s="8" t="s">
        <v>96</v>
      </c>
      <c r="C8" s="10" t="s">
        <v>402</v>
      </c>
      <c r="D8" s="4" t="s">
        <v>386</v>
      </c>
      <c r="E8" s="10" t="s">
        <v>370</v>
      </c>
      <c r="F8" s="10" t="s">
        <v>481</v>
      </c>
      <c r="G8" s="168" t="s">
        <v>92</v>
      </c>
      <c r="H8" s="226" t="s">
        <v>91</v>
      </c>
      <c r="I8" s="227"/>
      <c r="J8" s="226" t="s">
        <v>91</v>
      </c>
      <c r="K8" s="227"/>
      <c r="L8" s="226" t="s">
        <v>91</v>
      </c>
      <c r="M8" s="227"/>
      <c r="N8" s="232" t="s">
        <v>91</v>
      </c>
      <c r="O8" s="233"/>
      <c r="P8" s="226" t="s">
        <v>91</v>
      </c>
      <c r="Q8" s="227"/>
      <c r="R8" s="226" t="s">
        <v>91</v>
      </c>
      <c r="S8" s="227"/>
      <c r="T8" s="226" t="s">
        <v>91</v>
      </c>
      <c r="U8" s="227"/>
      <c r="V8" s="33"/>
      <c r="W8" s="11"/>
      <c r="X8" s="11"/>
      <c r="Y8" s="11"/>
      <c r="Z8" s="11"/>
      <c r="AA8" s="11"/>
      <c r="AB8" s="11"/>
    </row>
    <row r="9" spans="1:28" s="12" customFormat="1" ht="118.5" customHeight="1" x14ac:dyDescent="0.25">
      <c r="A9" s="219"/>
      <c r="B9" s="8" t="s">
        <v>99</v>
      </c>
      <c r="C9" s="10" t="s">
        <v>83</v>
      </c>
      <c r="D9" s="10" t="s">
        <v>386</v>
      </c>
      <c r="E9" s="277" t="s">
        <v>192</v>
      </c>
      <c r="F9" s="10" t="s">
        <v>413</v>
      </c>
      <c r="G9" s="168" t="s">
        <v>92</v>
      </c>
      <c r="H9" s="249" t="s">
        <v>91</v>
      </c>
      <c r="I9" s="250" t="s">
        <v>91</v>
      </c>
      <c r="J9" s="249" t="s">
        <v>91</v>
      </c>
      <c r="K9" s="250" t="s">
        <v>91</v>
      </c>
      <c r="L9" s="249" t="s">
        <v>91</v>
      </c>
      <c r="M9" s="250" t="s">
        <v>91</v>
      </c>
      <c r="N9" s="271" t="s">
        <v>91</v>
      </c>
      <c r="O9" s="272" t="s">
        <v>91</v>
      </c>
      <c r="P9" s="249" t="s">
        <v>91</v>
      </c>
      <c r="Q9" s="250" t="s">
        <v>91</v>
      </c>
      <c r="R9" s="249" t="s">
        <v>91</v>
      </c>
      <c r="S9" s="250" t="s">
        <v>91</v>
      </c>
      <c r="T9" s="249" t="s">
        <v>91</v>
      </c>
      <c r="U9" s="250" t="s">
        <v>91</v>
      </c>
      <c r="V9" s="33"/>
      <c r="W9" s="11"/>
      <c r="X9" s="11"/>
      <c r="Y9" s="11"/>
      <c r="Z9" s="11"/>
      <c r="AA9" s="11"/>
      <c r="AB9" s="11"/>
    </row>
    <row r="10" spans="1:28" s="12" customFormat="1" ht="98.25" customHeight="1" x14ac:dyDescent="0.25">
      <c r="A10" s="220"/>
      <c r="B10" s="8" t="s">
        <v>66</v>
      </c>
      <c r="C10" s="10" t="s">
        <v>83</v>
      </c>
      <c r="D10" s="10" t="s">
        <v>386</v>
      </c>
      <c r="E10" s="278"/>
      <c r="F10" s="10" t="s">
        <v>186</v>
      </c>
      <c r="G10" s="168" t="s">
        <v>92</v>
      </c>
      <c r="H10" s="251"/>
      <c r="I10" s="252"/>
      <c r="J10" s="251"/>
      <c r="K10" s="252"/>
      <c r="L10" s="251"/>
      <c r="M10" s="252"/>
      <c r="N10" s="273"/>
      <c r="O10" s="274"/>
      <c r="P10" s="251"/>
      <c r="Q10" s="252"/>
      <c r="R10" s="251"/>
      <c r="S10" s="252"/>
      <c r="T10" s="251"/>
      <c r="U10" s="252"/>
      <c r="V10" s="33"/>
      <c r="W10" s="11"/>
      <c r="X10" s="11"/>
      <c r="Y10" s="11"/>
      <c r="Z10" s="11"/>
      <c r="AA10" s="11"/>
      <c r="AB10" s="11"/>
    </row>
    <row r="11" spans="1:28" s="12" customFormat="1" ht="137.25" customHeight="1" x14ac:dyDescent="0.25">
      <c r="A11" s="13" t="s">
        <v>12</v>
      </c>
      <c r="B11" s="8" t="s">
        <v>100</v>
      </c>
      <c r="C11" s="10" t="s">
        <v>83</v>
      </c>
      <c r="D11" s="10" t="s">
        <v>386</v>
      </c>
      <c r="E11" s="278"/>
      <c r="F11" s="10" t="s">
        <v>185</v>
      </c>
      <c r="G11" s="168" t="s">
        <v>92</v>
      </c>
      <c r="H11" s="251"/>
      <c r="I11" s="252"/>
      <c r="J11" s="251"/>
      <c r="K11" s="252"/>
      <c r="L11" s="251"/>
      <c r="M11" s="252"/>
      <c r="N11" s="273"/>
      <c r="O11" s="274"/>
      <c r="P11" s="251"/>
      <c r="Q11" s="252"/>
      <c r="R11" s="251"/>
      <c r="S11" s="252"/>
      <c r="T11" s="251"/>
      <c r="U11" s="252"/>
      <c r="V11" s="33"/>
      <c r="W11" s="11"/>
      <c r="X11" s="11"/>
      <c r="Y11" s="11"/>
      <c r="Z11" s="11"/>
      <c r="AA11" s="11"/>
      <c r="AB11" s="11"/>
    </row>
    <row r="12" spans="1:28" s="12" customFormat="1" ht="61.5" customHeight="1" x14ac:dyDescent="0.25">
      <c r="A12" s="13" t="s">
        <v>26</v>
      </c>
      <c r="B12" s="8" t="s">
        <v>63</v>
      </c>
      <c r="C12" s="10" t="s">
        <v>83</v>
      </c>
      <c r="D12" s="10" t="s">
        <v>386</v>
      </c>
      <c r="E12" s="279"/>
      <c r="F12" s="10" t="s">
        <v>187</v>
      </c>
      <c r="G12" s="168" t="s">
        <v>92</v>
      </c>
      <c r="H12" s="253"/>
      <c r="I12" s="254"/>
      <c r="J12" s="253"/>
      <c r="K12" s="254"/>
      <c r="L12" s="253"/>
      <c r="M12" s="254"/>
      <c r="N12" s="275"/>
      <c r="O12" s="276"/>
      <c r="P12" s="253"/>
      <c r="Q12" s="254"/>
      <c r="R12" s="253"/>
      <c r="S12" s="254"/>
      <c r="T12" s="253"/>
      <c r="U12" s="254"/>
      <c r="V12" s="33"/>
      <c r="W12" s="11"/>
      <c r="X12" s="11"/>
      <c r="Y12" s="11"/>
      <c r="Z12" s="11"/>
      <c r="AA12" s="11"/>
      <c r="AB12" s="11"/>
    </row>
    <row r="13" spans="1:28" s="12" customFormat="1" ht="41.25" customHeight="1" x14ac:dyDescent="0.25">
      <c r="A13" s="59" t="s">
        <v>30</v>
      </c>
      <c r="B13" s="60" t="s">
        <v>64</v>
      </c>
      <c r="C13" s="61"/>
      <c r="D13" s="62"/>
      <c r="E13" s="63"/>
      <c r="F13" s="63"/>
      <c r="G13" s="169"/>
      <c r="H13" s="245" t="s">
        <v>163</v>
      </c>
      <c r="I13" s="246"/>
      <c r="J13" s="245" t="s">
        <v>163</v>
      </c>
      <c r="K13" s="246"/>
      <c r="L13" s="245" t="s">
        <v>163</v>
      </c>
      <c r="M13" s="246"/>
      <c r="N13" s="245" t="s">
        <v>163</v>
      </c>
      <c r="O13" s="246"/>
      <c r="P13" s="245" t="s">
        <v>163</v>
      </c>
      <c r="Q13" s="246"/>
      <c r="R13" s="245" t="s">
        <v>163</v>
      </c>
      <c r="S13" s="246"/>
      <c r="T13" s="245" t="s">
        <v>163</v>
      </c>
      <c r="U13" s="246"/>
      <c r="V13" s="34"/>
      <c r="W13" s="11"/>
      <c r="X13" s="11"/>
      <c r="Y13" s="11"/>
      <c r="Z13" s="11"/>
      <c r="AA13" s="11"/>
      <c r="AB13" s="11"/>
    </row>
    <row r="14" spans="1:28" s="12" customFormat="1" ht="118.5" customHeight="1" x14ac:dyDescent="0.25">
      <c r="A14" s="149" t="s">
        <v>31</v>
      </c>
      <c r="B14" s="10" t="s">
        <v>452</v>
      </c>
      <c r="C14" s="10" t="s">
        <v>419</v>
      </c>
      <c r="D14" s="10" t="s">
        <v>448</v>
      </c>
      <c r="E14" s="10" t="s">
        <v>454</v>
      </c>
      <c r="F14" s="10" t="s">
        <v>414</v>
      </c>
      <c r="G14" s="168" t="s">
        <v>92</v>
      </c>
      <c r="H14" s="226" t="s">
        <v>91</v>
      </c>
      <c r="I14" s="227"/>
      <c r="J14" s="226" t="s">
        <v>91</v>
      </c>
      <c r="K14" s="227"/>
      <c r="L14" s="226" t="s">
        <v>91</v>
      </c>
      <c r="M14" s="227"/>
      <c r="N14" s="232" t="s">
        <v>91</v>
      </c>
      <c r="O14" s="233"/>
      <c r="P14" s="226" t="s">
        <v>91</v>
      </c>
      <c r="Q14" s="227"/>
      <c r="R14" s="226" t="s">
        <v>91</v>
      </c>
      <c r="S14" s="227"/>
      <c r="T14" s="226" t="s">
        <v>91</v>
      </c>
      <c r="U14" s="227"/>
      <c r="V14" s="33"/>
      <c r="W14" s="11"/>
      <c r="X14" s="11"/>
      <c r="Y14" s="11"/>
      <c r="Z14" s="11"/>
      <c r="AA14" s="11"/>
      <c r="AB14" s="11"/>
    </row>
    <row r="15" spans="1:28" s="12" customFormat="1" ht="118.5" customHeight="1" x14ac:dyDescent="0.25">
      <c r="A15" s="149" t="s">
        <v>32</v>
      </c>
      <c r="B15" s="160" t="s">
        <v>453</v>
      </c>
      <c r="C15" s="10" t="s">
        <v>451</v>
      </c>
      <c r="D15" s="10" t="s">
        <v>448</v>
      </c>
      <c r="E15" s="10" t="s">
        <v>455</v>
      </c>
      <c r="F15" s="10" t="s">
        <v>414</v>
      </c>
      <c r="G15" s="168" t="s">
        <v>92</v>
      </c>
      <c r="H15" s="226" t="s">
        <v>91</v>
      </c>
      <c r="I15" s="227"/>
      <c r="J15" s="226" t="s">
        <v>91</v>
      </c>
      <c r="K15" s="227"/>
      <c r="L15" s="226" t="s">
        <v>91</v>
      </c>
      <c r="M15" s="227"/>
      <c r="N15" s="232" t="s">
        <v>91</v>
      </c>
      <c r="O15" s="233"/>
      <c r="P15" s="226" t="s">
        <v>91</v>
      </c>
      <c r="Q15" s="227"/>
      <c r="R15" s="226" t="s">
        <v>91</v>
      </c>
      <c r="S15" s="227"/>
      <c r="T15" s="226" t="s">
        <v>91</v>
      </c>
      <c r="U15" s="227"/>
      <c r="V15" s="33"/>
      <c r="W15" s="11"/>
      <c r="X15" s="11"/>
      <c r="Y15" s="11"/>
      <c r="Z15" s="11"/>
      <c r="AA15" s="11"/>
      <c r="AB15" s="11"/>
    </row>
    <row r="16" spans="1:28" s="12" customFormat="1" ht="20.25" x14ac:dyDescent="0.25">
      <c r="A16" s="59" t="s">
        <v>42</v>
      </c>
      <c r="B16" s="60" t="s">
        <v>79</v>
      </c>
      <c r="C16" s="61"/>
      <c r="D16" s="62"/>
      <c r="E16" s="63"/>
      <c r="F16" s="63"/>
      <c r="G16" s="169"/>
      <c r="H16" s="170">
        <f t="shared" ref="H16:U16" si="0">H22</f>
        <v>0</v>
      </c>
      <c r="I16" s="170">
        <f t="shared" si="0"/>
        <v>0</v>
      </c>
      <c r="J16" s="170">
        <f t="shared" si="0"/>
        <v>0</v>
      </c>
      <c r="K16" s="170">
        <f t="shared" si="0"/>
        <v>0</v>
      </c>
      <c r="L16" s="170">
        <f t="shared" si="0"/>
        <v>0</v>
      </c>
      <c r="M16" s="170">
        <f t="shared" si="0"/>
        <v>0</v>
      </c>
      <c r="N16" s="205">
        <f t="shared" si="0"/>
        <v>0</v>
      </c>
      <c r="O16" s="205">
        <f t="shared" si="0"/>
        <v>0</v>
      </c>
      <c r="P16" s="170">
        <f t="shared" si="0"/>
        <v>0</v>
      </c>
      <c r="Q16" s="170">
        <f t="shared" si="0"/>
        <v>0</v>
      </c>
      <c r="R16" s="170">
        <f t="shared" si="0"/>
        <v>0</v>
      </c>
      <c r="S16" s="170">
        <f t="shared" si="0"/>
        <v>0</v>
      </c>
      <c r="T16" s="170">
        <f t="shared" si="0"/>
        <v>0</v>
      </c>
      <c r="U16" s="170">
        <f t="shared" si="0"/>
        <v>0</v>
      </c>
      <c r="V16" s="32"/>
      <c r="W16" s="11"/>
      <c r="X16" s="11"/>
      <c r="Y16" s="11"/>
      <c r="Z16" s="11"/>
      <c r="AA16" s="11"/>
      <c r="AB16" s="11"/>
    </row>
    <row r="17" spans="1:28" s="12" customFormat="1" ht="177.75" customHeight="1" x14ac:dyDescent="0.25">
      <c r="A17" s="19" t="s">
        <v>44</v>
      </c>
      <c r="B17" s="10" t="s">
        <v>97</v>
      </c>
      <c r="C17" s="10" t="s">
        <v>85</v>
      </c>
      <c r="D17" s="10" t="s">
        <v>386</v>
      </c>
      <c r="E17" s="10" t="s">
        <v>195</v>
      </c>
      <c r="F17" s="10" t="s">
        <v>188</v>
      </c>
      <c r="G17" s="168" t="s">
        <v>92</v>
      </c>
      <c r="H17" s="226" t="s">
        <v>91</v>
      </c>
      <c r="I17" s="227"/>
      <c r="J17" s="226" t="s">
        <v>91</v>
      </c>
      <c r="K17" s="227"/>
      <c r="L17" s="226" t="s">
        <v>91</v>
      </c>
      <c r="M17" s="227"/>
      <c r="N17" s="232" t="s">
        <v>91</v>
      </c>
      <c r="O17" s="233"/>
      <c r="P17" s="226" t="s">
        <v>91</v>
      </c>
      <c r="Q17" s="227"/>
      <c r="R17" s="226" t="s">
        <v>91</v>
      </c>
      <c r="S17" s="227"/>
      <c r="T17" s="226" t="s">
        <v>91</v>
      </c>
      <c r="U17" s="227"/>
      <c r="V17" s="33"/>
      <c r="W17" s="11"/>
      <c r="X17" s="11"/>
      <c r="Y17" s="11"/>
      <c r="Z17" s="11"/>
      <c r="AA17" s="11"/>
      <c r="AB17" s="11"/>
    </row>
    <row r="18" spans="1:28" s="12" customFormat="1" ht="107.25" customHeight="1" x14ac:dyDescent="0.25">
      <c r="A18" s="13" t="s">
        <v>45</v>
      </c>
      <c r="B18" s="10" t="s">
        <v>373</v>
      </c>
      <c r="C18" s="10" t="s">
        <v>403</v>
      </c>
      <c r="D18" s="10" t="s">
        <v>386</v>
      </c>
      <c r="E18" s="10" t="s">
        <v>196</v>
      </c>
      <c r="F18" s="10" t="s">
        <v>388</v>
      </c>
      <c r="G18" s="168" t="s">
        <v>387</v>
      </c>
      <c r="H18" s="226">
        <v>74</v>
      </c>
      <c r="I18" s="227"/>
      <c r="J18" s="226">
        <v>70</v>
      </c>
      <c r="K18" s="227"/>
      <c r="L18" s="226">
        <v>357</v>
      </c>
      <c r="M18" s="227"/>
      <c r="N18" s="232">
        <v>72</v>
      </c>
      <c r="O18" s="233"/>
      <c r="P18" s="226">
        <v>50</v>
      </c>
      <c r="Q18" s="227"/>
      <c r="R18" s="226">
        <v>50</v>
      </c>
      <c r="S18" s="227"/>
      <c r="T18" s="226">
        <f>H18+J18+L18+N18+P18+R18</f>
        <v>673</v>
      </c>
      <c r="U18" s="227"/>
      <c r="V18" s="33"/>
      <c r="W18" s="11"/>
      <c r="X18" s="11"/>
      <c r="Y18" s="11"/>
      <c r="Z18" s="11"/>
      <c r="AA18" s="11"/>
      <c r="AB18" s="11"/>
    </row>
    <row r="19" spans="1:28" s="16" customFormat="1" ht="79.5" customHeight="1" x14ac:dyDescent="0.25">
      <c r="A19" s="14" t="s">
        <v>46</v>
      </c>
      <c r="B19" s="21" t="s">
        <v>67</v>
      </c>
      <c r="C19" s="10" t="s">
        <v>403</v>
      </c>
      <c r="D19" s="10" t="s">
        <v>386</v>
      </c>
      <c r="E19" s="10" t="s">
        <v>197</v>
      </c>
      <c r="F19" s="10" t="s">
        <v>67</v>
      </c>
      <c r="G19" s="168" t="s">
        <v>92</v>
      </c>
      <c r="H19" s="224" t="s">
        <v>91</v>
      </c>
      <c r="I19" s="225"/>
      <c r="J19" s="224" t="s">
        <v>91</v>
      </c>
      <c r="K19" s="225"/>
      <c r="L19" s="224" t="s">
        <v>91</v>
      </c>
      <c r="M19" s="225"/>
      <c r="N19" s="234" t="s">
        <v>91</v>
      </c>
      <c r="O19" s="235"/>
      <c r="P19" s="224" t="s">
        <v>91</v>
      </c>
      <c r="Q19" s="225"/>
      <c r="R19" s="224" t="s">
        <v>91</v>
      </c>
      <c r="S19" s="225"/>
      <c r="T19" s="224" t="s">
        <v>91</v>
      </c>
      <c r="U19" s="225"/>
      <c r="V19" s="35"/>
      <c r="W19" s="15"/>
      <c r="X19" s="15"/>
      <c r="Y19" s="15"/>
      <c r="Z19" s="15"/>
      <c r="AA19" s="15"/>
      <c r="AB19" s="15"/>
    </row>
    <row r="20" spans="1:28" s="16" customFormat="1" ht="79.5" customHeight="1" x14ac:dyDescent="0.25">
      <c r="A20" s="145" t="s">
        <v>47</v>
      </c>
      <c r="B20" s="8" t="s">
        <v>490</v>
      </c>
      <c r="C20" s="10" t="s">
        <v>117</v>
      </c>
      <c r="D20" s="10" t="s">
        <v>386</v>
      </c>
      <c r="E20" s="10" t="s">
        <v>489</v>
      </c>
      <c r="F20" s="10" t="s">
        <v>414</v>
      </c>
      <c r="G20" s="168" t="s">
        <v>92</v>
      </c>
      <c r="H20" s="224" t="s">
        <v>91</v>
      </c>
      <c r="I20" s="225"/>
      <c r="J20" s="224" t="s">
        <v>91</v>
      </c>
      <c r="K20" s="225"/>
      <c r="L20" s="224" t="s">
        <v>91</v>
      </c>
      <c r="M20" s="225"/>
      <c r="N20" s="234" t="s">
        <v>91</v>
      </c>
      <c r="O20" s="235"/>
      <c r="P20" s="224" t="s">
        <v>91</v>
      </c>
      <c r="Q20" s="225"/>
      <c r="R20" s="224" t="s">
        <v>91</v>
      </c>
      <c r="S20" s="225"/>
      <c r="T20" s="224" t="s">
        <v>91</v>
      </c>
      <c r="U20" s="225"/>
      <c r="V20" s="35"/>
      <c r="W20" s="15"/>
      <c r="X20" s="15"/>
      <c r="Y20" s="15"/>
      <c r="Z20" s="15"/>
      <c r="AA20" s="15"/>
      <c r="AB20" s="15"/>
    </row>
    <row r="21" spans="1:28" s="12" customFormat="1" ht="116.25" customHeight="1" x14ac:dyDescent="0.25">
      <c r="A21" s="280" t="s">
        <v>48</v>
      </c>
      <c r="B21" s="218" t="s">
        <v>58</v>
      </c>
      <c r="C21" s="277" t="s">
        <v>304</v>
      </c>
      <c r="D21" s="10" t="s">
        <v>386</v>
      </c>
      <c r="E21" s="10" t="s">
        <v>200</v>
      </c>
      <c r="F21" s="10" t="s">
        <v>199</v>
      </c>
      <c r="G21" s="168" t="s">
        <v>92</v>
      </c>
      <c r="H21" s="239" t="s">
        <v>91</v>
      </c>
      <c r="I21" s="240"/>
      <c r="J21" s="239" t="s">
        <v>91</v>
      </c>
      <c r="K21" s="240"/>
      <c r="L21" s="239" t="s">
        <v>91</v>
      </c>
      <c r="M21" s="240"/>
      <c r="N21" s="234" t="s">
        <v>91</v>
      </c>
      <c r="O21" s="235"/>
      <c r="P21" s="239" t="s">
        <v>91</v>
      </c>
      <c r="Q21" s="240"/>
      <c r="R21" s="239" t="s">
        <v>91</v>
      </c>
      <c r="S21" s="240"/>
      <c r="T21" s="239" t="s">
        <v>91</v>
      </c>
      <c r="U21" s="240"/>
      <c r="V21" s="151" t="e">
        <f>H21+J21+T21</f>
        <v>#VALUE!</v>
      </c>
      <c r="W21" s="151">
        <f>I21+K21+U21</f>
        <v>0</v>
      </c>
      <c r="X21" s="151" t="e">
        <f>J21+T21+V21</f>
        <v>#VALUE!</v>
      </c>
      <c r="Y21" s="151">
        <f>K21+U21+W21</f>
        <v>0</v>
      </c>
      <c r="Z21" s="151" t="e">
        <f>T21+V21+X21</f>
        <v>#VALUE!</v>
      </c>
      <c r="AA21" s="151">
        <f>U21+W21+Y21</f>
        <v>0</v>
      </c>
      <c r="AB21" s="151" t="e">
        <f>V21+X21+Z21</f>
        <v>#VALUE!</v>
      </c>
    </row>
    <row r="22" spans="1:28" s="12" customFormat="1" ht="96" hidden="1" customHeight="1" x14ac:dyDescent="0.25">
      <c r="A22" s="220"/>
      <c r="B22" s="220"/>
      <c r="C22" s="279"/>
      <c r="D22" s="10" t="s">
        <v>386</v>
      </c>
      <c r="E22" s="10" t="s">
        <v>420</v>
      </c>
      <c r="F22" s="10" t="s">
        <v>108</v>
      </c>
      <c r="G22" s="168" t="s">
        <v>93</v>
      </c>
      <c r="H22" s="171">
        <v>0</v>
      </c>
      <c r="I22" s="171">
        <v>0</v>
      </c>
      <c r="J22" s="171">
        <v>0</v>
      </c>
      <c r="K22" s="171">
        <v>0</v>
      </c>
      <c r="L22" s="171">
        <v>0</v>
      </c>
      <c r="M22" s="171">
        <v>0</v>
      </c>
      <c r="N22" s="207">
        <v>0</v>
      </c>
      <c r="O22" s="207">
        <v>0</v>
      </c>
      <c r="P22" s="171">
        <v>0</v>
      </c>
      <c r="Q22" s="171">
        <v>0</v>
      </c>
      <c r="R22" s="171">
        <v>0</v>
      </c>
      <c r="S22" s="171">
        <v>0</v>
      </c>
      <c r="T22" s="171">
        <f>H22+J22+L22+N22+P22+R22</f>
        <v>0</v>
      </c>
      <c r="U22" s="171">
        <f>I22+K22+M22+O22+Q22+S22</f>
        <v>0</v>
      </c>
      <c r="V22" s="152"/>
      <c r="W22" s="152"/>
      <c r="X22" s="152"/>
      <c r="Y22" s="152"/>
      <c r="Z22" s="152"/>
      <c r="AA22" s="152"/>
      <c r="AB22" s="152"/>
    </row>
    <row r="23" spans="1:28" s="16" customFormat="1" ht="38.25" customHeight="1" x14ac:dyDescent="0.25">
      <c r="A23" s="59" t="s">
        <v>43</v>
      </c>
      <c r="B23" s="60" t="s">
        <v>77</v>
      </c>
      <c r="C23" s="61"/>
      <c r="D23" s="62"/>
      <c r="E23" s="71"/>
      <c r="F23" s="71"/>
      <c r="G23" s="172"/>
      <c r="H23" s="173">
        <f t="shared" ref="H23:U23" si="1">H24+H25+H26+H28</f>
        <v>15526.44492</v>
      </c>
      <c r="I23" s="173">
        <f t="shared" si="1"/>
        <v>0</v>
      </c>
      <c r="J23" s="173">
        <f t="shared" si="1"/>
        <v>3200</v>
      </c>
      <c r="K23" s="173">
        <f t="shared" si="1"/>
        <v>0</v>
      </c>
      <c r="L23" s="173">
        <f t="shared" si="1"/>
        <v>2800</v>
      </c>
      <c r="M23" s="173">
        <f t="shared" si="1"/>
        <v>0</v>
      </c>
      <c r="N23" s="173">
        <f t="shared" si="1"/>
        <v>1573.59</v>
      </c>
      <c r="O23" s="173">
        <f t="shared" si="1"/>
        <v>0</v>
      </c>
      <c r="P23" s="173">
        <f t="shared" si="1"/>
        <v>525</v>
      </c>
      <c r="Q23" s="173">
        <f t="shared" si="1"/>
        <v>0</v>
      </c>
      <c r="R23" s="173">
        <f t="shared" si="1"/>
        <v>525</v>
      </c>
      <c r="S23" s="173">
        <f t="shared" si="1"/>
        <v>0</v>
      </c>
      <c r="T23" s="173">
        <f t="shared" si="1"/>
        <v>24150.034919999998</v>
      </c>
      <c r="U23" s="173">
        <f t="shared" si="1"/>
        <v>0</v>
      </c>
      <c r="V23" s="34"/>
      <c r="W23" s="15"/>
      <c r="X23" s="15"/>
      <c r="Y23" s="15"/>
      <c r="Z23" s="15"/>
      <c r="AA23" s="15"/>
      <c r="AB23" s="15"/>
    </row>
    <row r="24" spans="1:28" s="16" customFormat="1" ht="139.5" customHeight="1" x14ac:dyDescent="0.25">
      <c r="A24" s="14" t="s">
        <v>50</v>
      </c>
      <c r="B24" s="9" t="s">
        <v>201</v>
      </c>
      <c r="C24" s="10" t="s">
        <v>404</v>
      </c>
      <c r="D24" s="10" t="s">
        <v>386</v>
      </c>
      <c r="E24" s="10" t="s">
        <v>202</v>
      </c>
      <c r="F24" s="10" t="s">
        <v>108</v>
      </c>
      <c r="G24" s="168" t="s">
        <v>93</v>
      </c>
      <c r="H24" s="171">
        <v>0</v>
      </c>
      <c r="I24" s="174">
        <v>0</v>
      </c>
      <c r="J24" s="174">
        <v>0</v>
      </c>
      <c r="K24" s="174">
        <v>0</v>
      </c>
      <c r="L24" s="174">
        <v>0</v>
      </c>
      <c r="M24" s="174">
        <v>0</v>
      </c>
      <c r="N24" s="207">
        <v>0</v>
      </c>
      <c r="O24" s="207">
        <v>0</v>
      </c>
      <c r="P24" s="174">
        <v>25</v>
      </c>
      <c r="Q24" s="174">
        <v>0</v>
      </c>
      <c r="R24" s="174">
        <v>25</v>
      </c>
      <c r="S24" s="174">
        <v>0</v>
      </c>
      <c r="T24" s="174">
        <f>H24+J24+L24+N24+P24+R24</f>
        <v>50</v>
      </c>
      <c r="U24" s="174">
        <f>I24+K24</f>
        <v>0</v>
      </c>
      <c r="V24" s="35"/>
      <c r="W24" s="15"/>
      <c r="X24" s="15"/>
      <c r="Y24" s="15"/>
      <c r="Z24" s="15"/>
      <c r="AA24" s="15"/>
      <c r="AB24" s="15"/>
    </row>
    <row r="25" spans="1:28" s="12" customFormat="1" ht="77.25" customHeight="1" x14ac:dyDescent="0.25">
      <c r="A25" s="13" t="s">
        <v>51</v>
      </c>
      <c r="B25" s="10" t="s">
        <v>160</v>
      </c>
      <c r="C25" s="10" t="s">
        <v>404</v>
      </c>
      <c r="D25" s="10" t="s">
        <v>386</v>
      </c>
      <c r="E25" s="10" t="s">
        <v>421</v>
      </c>
      <c r="F25" s="10" t="s">
        <v>108</v>
      </c>
      <c r="G25" s="168" t="s">
        <v>93</v>
      </c>
      <c r="H25" s="171">
        <v>13175.44492</v>
      </c>
      <c r="I25" s="171">
        <v>0</v>
      </c>
      <c r="J25" s="171">
        <v>1000</v>
      </c>
      <c r="K25" s="171">
        <v>0</v>
      </c>
      <c r="L25" s="171">
        <v>0</v>
      </c>
      <c r="M25" s="171">
        <v>0</v>
      </c>
      <c r="N25" s="207">
        <v>0</v>
      </c>
      <c r="O25" s="207">
        <v>0</v>
      </c>
      <c r="P25" s="171">
        <v>0</v>
      </c>
      <c r="Q25" s="171">
        <v>0</v>
      </c>
      <c r="R25" s="171">
        <v>0</v>
      </c>
      <c r="S25" s="171">
        <v>0</v>
      </c>
      <c r="T25" s="171">
        <f>H25+J25+L25+N25+P25+R25</f>
        <v>14175.44492</v>
      </c>
      <c r="U25" s="171">
        <f>I25+K25+M25+O25+Q25+S25</f>
        <v>0</v>
      </c>
      <c r="V25" s="153"/>
      <c r="W25" s="11"/>
      <c r="X25" s="11"/>
      <c r="Y25" s="11"/>
      <c r="Z25" s="11"/>
      <c r="AA25" s="11"/>
      <c r="AB25" s="11"/>
    </row>
    <row r="26" spans="1:28" s="12" customFormat="1" ht="99.75" customHeight="1" x14ac:dyDescent="0.25">
      <c r="A26" s="13" t="s">
        <v>52</v>
      </c>
      <c r="B26" s="10" t="s">
        <v>422</v>
      </c>
      <c r="C26" s="10" t="s">
        <v>405</v>
      </c>
      <c r="D26" s="10" t="s">
        <v>449</v>
      </c>
      <c r="E26" s="10" t="s">
        <v>339</v>
      </c>
      <c r="F26" s="10" t="s">
        <v>108</v>
      </c>
      <c r="G26" s="168" t="s">
        <v>93</v>
      </c>
      <c r="H26" s="175">
        <v>1192</v>
      </c>
      <c r="I26" s="175">
        <v>0</v>
      </c>
      <c r="J26" s="175">
        <v>0</v>
      </c>
      <c r="K26" s="175">
        <v>0</v>
      </c>
      <c r="L26" s="175">
        <v>0</v>
      </c>
      <c r="M26" s="175">
        <v>0</v>
      </c>
      <c r="N26" s="176">
        <v>0</v>
      </c>
      <c r="O26" s="176">
        <v>0</v>
      </c>
      <c r="P26" s="175">
        <v>0</v>
      </c>
      <c r="Q26" s="175">
        <v>0</v>
      </c>
      <c r="R26" s="175">
        <v>0</v>
      </c>
      <c r="S26" s="175">
        <v>0</v>
      </c>
      <c r="T26" s="171">
        <f>H26</f>
        <v>1192</v>
      </c>
      <c r="U26" s="175">
        <f>I26+K26+M26+O26+Q26+S26</f>
        <v>0</v>
      </c>
      <c r="V26" s="33"/>
      <c r="W26" s="11"/>
      <c r="X26" s="11"/>
      <c r="Y26" s="11"/>
      <c r="Z26" s="11"/>
      <c r="AA26" s="11"/>
      <c r="AB26" s="11"/>
    </row>
    <row r="27" spans="1:28" s="16" customFormat="1" ht="84" customHeight="1" x14ac:dyDescent="0.25">
      <c r="A27" s="14" t="s">
        <v>53</v>
      </c>
      <c r="B27" s="9" t="s">
        <v>103</v>
      </c>
      <c r="C27" s="10" t="s">
        <v>403</v>
      </c>
      <c r="D27" s="10" t="s">
        <v>386</v>
      </c>
      <c r="E27" s="10" t="s">
        <v>204</v>
      </c>
      <c r="F27" s="10" t="s">
        <v>109</v>
      </c>
      <c r="G27" s="168" t="s">
        <v>92</v>
      </c>
      <c r="H27" s="224" t="s">
        <v>91</v>
      </c>
      <c r="I27" s="225"/>
      <c r="J27" s="224" t="s">
        <v>91</v>
      </c>
      <c r="K27" s="225"/>
      <c r="L27" s="224" t="s">
        <v>91</v>
      </c>
      <c r="M27" s="225"/>
      <c r="N27" s="234" t="s">
        <v>91</v>
      </c>
      <c r="O27" s="235"/>
      <c r="P27" s="224" t="s">
        <v>91</v>
      </c>
      <c r="Q27" s="225"/>
      <c r="R27" s="224" t="s">
        <v>91</v>
      </c>
      <c r="S27" s="225"/>
      <c r="T27" s="224" t="s">
        <v>91</v>
      </c>
      <c r="U27" s="225"/>
      <c r="V27" s="35"/>
      <c r="W27" s="15"/>
      <c r="X27" s="15"/>
      <c r="Y27" s="15"/>
      <c r="Z27" s="15"/>
      <c r="AA27" s="15"/>
      <c r="AB27" s="15"/>
    </row>
    <row r="28" spans="1:28" s="16" customFormat="1" ht="312" customHeight="1" x14ac:dyDescent="0.25">
      <c r="A28" s="247" t="s">
        <v>54</v>
      </c>
      <c r="B28" s="218" t="s">
        <v>374</v>
      </c>
      <c r="C28" s="218" t="s">
        <v>112</v>
      </c>
      <c r="D28" s="10" t="s">
        <v>386</v>
      </c>
      <c r="E28" s="10" t="s">
        <v>375</v>
      </c>
      <c r="F28" s="10" t="s">
        <v>108</v>
      </c>
      <c r="G28" s="168" t="s">
        <v>93</v>
      </c>
      <c r="H28" s="174">
        <v>1159</v>
      </c>
      <c r="I28" s="174">
        <v>0</v>
      </c>
      <c r="J28" s="174">
        <v>2200</v>
      </c>
      <c r="K28" s="174">
        <v>0</v>
      </c>
      <c r="L28" s="174">
        <v>2800</v>
      </c>
      <c r="M28" s="174">
        <v>0</v>
      </c>
      <c r="N28" s="207">
        <v>1573.59</v>
      </c>
      <c r="O28" s="207">
        <v>0</v>
      </c>
      <c r="P28" s="174">
        <v>500</v>
      </c>
      <c r="Q28" s="174">
        <v>0</v>
      </c>
      <c r="R28" s="174">
        <v>500</v>
      </c>
      <c r="S28" s="174">
        <v>0</v>
      </c>
      <c r="T28" s="174">
        <f>H28+J28+L28+N28+P28+R28</f>
        <v>8732.59</v>
      </c>
      <c r="U28" s="174">
        <f>I28+K28+M28+O28+Q28+S28</f>
        <v>0</v>
      </c>
      <c r="V28" s="35"/>
      <c r="W28" s="15"/>
      <c r="X28" s="15"/>
      <c r="Y28" s="15"/>
      <c r="Z28" s="15"/>
      <c r="AA28" s="15"/>
      <c r="AB28" s="15"/>
    </row>
    <row r="29" spans="1:28" s="12" customFormat="1" ht="120" customHeight="1" x14ac:dyDescent="0.25">
      <c r="A29" s="248"/>
      <c r="B29" s="220"/>
      <c r="C29" s="220"/>
      <c r="D29" s="10" t="s">
        <v>386</v>
      </c>
      <c r="E29" s="10" t="s">
        <v>375</v>
      </c>
      <c r="F29" s="10" t="s">
        <v>390</v>
      </c>
      <c r="G29" s="168" t="s">
        <v>389</v>
      </c>
      <c r="H29" s="239">
        <v>100</v>
      </c>
      <c r="I29" s="240"/>
      <c r="J29" s="239">
        <v>150</v>
      </c>
      <c r="K29" s="240"/>
      <c r="L29" s="239">
        <v>167</v>
      </c>
      <c r="M29" s="240"/>
      <c r="N29" s="234">
        <v>139</v>
      </c>
      <c r="O29" s="235"/>
      <c r="P29" s="239">
        <v>100</v>
      </c>
      <c r="Q29" s="240"/>
      <c r="R29" s="239">
        <v>100</v>
      </c>
      <c r="S29" s="240"/>
      <c r="T29" s="239">
        <f>H29+J29+L29+N29+P29+R29</f>
        <v>756</v>
      </c>
      <c r="U29" s="240"/>
      <c r="V29" s="153"/>
      <c r="W29" s="11"/>
      <c r="X29" s="11"/>
      <c r="Y29" s="11"/>
      <c r="Z29" s="11"/>
      <c r="AA29" s="11"/>
      <c r="AB29" s="11"/>
    </row>
    <row r="30" spans="1:28" s="12" customFormat="1" ht="120" customHeight="1" x14ac:dyDescent="0.25">
      <c r="A30" s="157" t="s">
        <v>78</v>
      </c>
      <c r="B30" s="161" t="s">
        <v>462</v>
      </c>
      <c r="C30" s="13" t="s">
        <v>463</v>
      </c>
      <c r="D30" s="159">
        <v>2020</v>
      </c>
      <c r="E30" s="10" t="s">
        <v>464</v>
      </c>
      <c r="F30" s="10" t="s">
        <v>465</v>
      </c>
      <c r="G30" s="168" t="s">
        <v>92</v>
      </c>
      <c r="H30" s="239" t="s">
        <v>428</v>
      </c>
      <c r="I30" s="240"/>
      <c r="J30" s="239" t="s">
        <v>91</v>
      </c>
      <c r="K30" s="240"/>
      <c r="L30" s="239" t="s">
        <v>428</v>
      </c>
      <c r="M30" s="240"/>
      <c r="N30" s="234" t="s">
        <v>428</v>
      </c>
      <c r="O30" s="235"/>
      <c r="P30" s="239" t="s">
        <v>428</v>
      </c>
      <c r="Q30" s="240"/>
      <c r="R30" s="239" t="s">
        <v>428</v>
      </c>
      <c r="S30" s="240"/>
      <c r="T30" s="239" t="s">
        <v>91</v>
      </c>
      <c r="U30" s="240"/>
      <c r="V30" s="153"/>
      <c r="W30" s="11"/>
      <c r="X30" s="11"/>
      <c r="Y30" s="11"/>
      <c r="Z30" s="11"/>
      <c r="AA30" s="11"/>
      <c r="AB30" s="11"/>
    </row>
    <row r="31" spans="1:28" s="16" customFormat="1" ht="20.25" x14ac:dyDescent="0.25">
      <c r="A31" s="59" t="s">
        <v>60</v>
      </c>
      <c r="B31" s="60" t="s">
        <v>59</v>
      </c>
      <c r="C31" s="61"/>
      <c r="D31" s="62"/>
      <c r="E31" s="71"/>
      <c r="F31" s="71"/>
      <c r="G31" s="172"/>
      <c r="H31" s="173">
        <f>H34</f>
        <v>20.56155</v>
      </c>
      <c r="I31" s="173">
        <f t="shared" ref="I31:U31" si="2">I34</f>
        <v>0</v>
      </c>
      <c r="J31" s="173">
        <f t="shared" si="2"/>
        <v>10</v>
      </c>
      <c r="K31" s="173">
        <f t="shared" si="2"/>
        <v>0</v>
      </c>
      <c r="L31" s="173">
        <f t="shared" si="2"/>
        <v>25</v>
      </c>
      <c r="M31" s="173">
        <f t="shared" si="2"/>
        <v>0</v>
      </c>
      <c r="N31" s="173">
        <f t="shared" si="2"/>
        <v>0</v>
      </c>
      <c r="O31" s="173">
        <f t="shared" si="2"/>
        <v>0</v>
      </c>
      <c r="P31" s="173">
        <f t="shared" si="2"/>
        <v>10</v>
      </c>
      <c r="Q31" s="173">
        <f t="shared" si="2"/>
        <v>0</v>
      </c>
      <c r="R31" s="173">
        <f t="shared" si="2"/>
        <v>10</v>
      </c>
      <c r="S31" s="173">
        <f t="shared" si="2"/>
        <v>0</v>
      </c>
      <c r="T31" s="173">
        <f t="shared" si="2"/>
        <v>75.561549999999997</v>
      </c>
      <c r="U31" s="173">
        <f t="shared" si="2"/>
        <v>0</v>
      </c>
      <c r="V31" s="34"/>
      <c r="W31" s="15"/>
      <c r="X31" s="15"/>
      <c r="Y31" s="15"/>
      <c r="Z31" s="15"/>
      <c r="AA31" s="15"/>
      <c r="AB31" s="15"/>
    </row>
    <row r="32" spans="1:28" s="16" customFormat="1" ht="141.75" customHeight="1" x14ac:dyDescent="0.25">
      <c r="A32" s="14" t="s">
        <v>70</v>
      </c>
      <c r="B32" s="10" t="s">
        <v>596</v>
      </c>
      <c r="C32" s="10" t="s">
        <v>83</v>
      </c>
      <c r="D32" s="10" t="s">
        <v>448</v>
      </c>
      <c r="E32" s="10" t="s">
        <v>371</v>
      </c>
      <c r="F32" s="10" t="s">
        <v>185</v>
      </c>
      <c r="G32" s="168" t="s">
        <v>442</v>
      </c>
      <c r="H32" s="224">
        <v>12</v>
      </c>
      <c r="I32" s="225"/>
      <c r="J32" s="224">
        <v>6</v>
      </c>
      <c r="K32" s="225"/>
      <c r="L32" s="224">
        <v>9</v>
      </c>
      <c r="M32" s="225"/>
      <c r="N32" s="234">
        <v>10</v>
      </c>
      <c r="O32" s="235"/>
      <c r="P32" s="224">
        <v>12</v>
      </c>
      <c r="Q32" s="225"/>
      <c r="R32" s="224">
        <v>12</v>
      </c>
      <c r="S32" s="225"/>
      <c r="T32" s="224">
        <v>12</v>
      </c>
      <c r="U32" s="225"/>
      <c r="V32" s="35"/>
      <c r="W32" s="15"/>
      <c r="X32" s="15"/>
      <c r="Y32" s="15"/>
      <c r="Z32" s="15"/>
      <c r="AA32" s="15"/>
      <c r="AB32" s="15"/>
    </row>
    <row r="33" spans="1:28" s="16" customFormat="1" ht="141.75" customHeight="1" x14ac:dyDescent="0.25">
      <c r="A33" s="14" t="s">
        <v>71</v>
      </c>
      <c r="B33" s="10" t="s">
        <v>595</v>
      </c>
      <c r="C33" s="10" t="s">
        <v>456</v>
      </c>
      <c r="D33" s="10" t="s">
        <v>448</v>
      </c>
      <c r="E33" s="10" t="s">
        <v>371</v>
      </c>
      <c r="F33" s="10" t="s">
        <v>458</v>
      </c>
      <c r="G33" s="168" t="s">
        <v>442</v>
      </c>
      <c r="H33" s="224">
        <v>12</v>
      </c>
      <c r="I33" s="225"/>
      <c r="J33" s="224">
        <v>5</v>
      </c>
      <c r="K33" s="225"/>
      <c r="L33" s="224">
        <v>9</v>
      </c>
      <c r="M33" s="225"/>
      <c r="N33" s="234">
        <v>8</v>
      </c>
      <c r="O33" s="235"/>
      <c r="P33" s="224">
        <v>12</v>
      </c>
      <c r="Q33" s="225"/>
      <c r="R33" s="224">
        <v>12</v>
      </c>
      <c r="S33" s="225"/>
      <c r="T33" s="224">
        <v>12</v>
      </c>
      <c r="U33" s="225"/>
      <c r="V33" s="35"/>
      <c r="W33" s="15"/>
      <c r="X33" s="15"/>
      <c r="Y33" s="15"/>
      <c r="Z33" s="15"/>
      <c r="AA33" s="15"/>
      <c r="AB33" s="15"/>
    </row>
    <row r="34" spans="1:28" s="16" customFormat="1" ht="102.75" customHeight="1" x14ac:dyDescent="0.25">
      <c r="A34" s="14" t="s">
        <v>72</v>
      </c>
      <c r="B34" s="22" t="s">
        <v>376</v>
      </c>
      <c r="C34" s="10" t="s">
        <v>351</v>
      </c>
      <c r="D34" s="10" t="s">
        <v>386</v>
      </c>
      <c r="E34" s="10" t="s">
        <v>352</v>
      </c>
      <c r="F34" s="10" t="s">
        <v>108</v>
      </c>
      <c r="G34" s="168" t="s">
        <v>93</v>
      </c>
      <c r="H34" s="176">
        <v>20.56155</v>
      </c>
      <c r="I34" s="176">
        <v>0</v>
      </c>
      <c r="J34" s="176">
        <v>10</v>
      </c>
      <c r="K34" s="176">
        <v>0</v>
      </c>
      <c r="L34" s="176">
        <v>25</v>
      </c>
      <c r="M34" s="176">
        <v>0</v>
      </c>
      <c r="N34" s="176">
        <v>0</v>
      </c>
      <c r="O34" s="176">
        <v>0</v>
      </c>
      <c r="P34" s="176">
        <v>10</v>
      </c>
      <c r="Q34" s="176">
        <v>0</v>
      </c>
      <c r="R34" s="176">
        <v>10</v>
      </c>
      <c r="S34" s="176">
        <v>0</v>
      </c>
      <c r="T34" s="176">
        <f>H34+J34+L34+N34+P34+R34</f>
        <v>75.561549999999997</v>
      </c>
      <c r="U34" s="176">
        <f>I34+K34+M34+O34+Q34+S34</f>
        <v>0</v>
      </c>
      <c r="V34" s="36"/>
      <c r="W34" s="15"/>
      <c r="X34" s="15"/>
      <c r="Y34" s="15"/>
      <c r="Z34" s="15"/>
      <c r="AA34" s="15"/>
      <c r="AB34" s="15"/>
    </row>
    <row r="35" spans="1:28" s="16" customFormat="1" ht="97.5" customHeight="1" x14ac:dyDescent="0.25">
      <c r="A35" s="14" t="s">
        <v>73</v>
      </c>
      <c r="B35" s="9" t="s">
        <v>209</v>
      </c>
      <c r="C35" s="10" t="s">
        <v>86</v>
      </c>
      <c r="D35" s="10" t="s">
        <v>15</v>
      </c>
      <c r="E35" s="10" t="s">
        <v>210</v>
      </c>
      <c r="F35" s="10" t="s">
        <v>208</v>
      </c>
      <c r="G35" s="168" t="s">
        <v>92</v>
      </c>
      <c r="H35" s="224" t="s">
        <v>91</v>
      </c>
      <c r="I35" s="225"/>
      <c r="J35" s="224" t="s">
        <v>91</v>
      </c>
      <c r="K35" s="225"/>
      <c r="L35" s="224" t="s">
        <v>91</v>
      </c>
      <c r="M35" s="225"/>
      <c r="N35" s="234" t="s">
        <v>91</v>
      </c>
      <c r="O35" s="235"/>
      <c r="P35" s="224" t="s">
        <v>91</v>
      </c>
      <c r="Q35" s="225"/>
      <c r="R35" s="224" t="s">
        <v>91</v>
      </c>
      <c r="S35" s="225"/>
      <c r="T35" s="224" t="s">
        <v>91</v>
      </c>
      <c r="U35" s="225" t="s">
        <v>91</v>
      </c>
      <c r="V35" s="36"/>
      <c r="W35" s="15"/>
      <c r="X35" s="15"/>
      <c r="Y35" s="15"/>
      <c r="Z35" s="15"/>
      <c r="AA35" s="15"/>
      <c r="AB35" s="15"/>
    </row>
    <row r="36" spans="1:28" s="12" customFormat="1" ht="93" customHeight="1" x14ac:dyDescent="0.25">
      <c r="A36" s="155" t="s">
        <v>74</v>
      </c>
      <c r="B36" s="155" t="s">
        <v>378</v>
      </c>
      <c r="C36" s="155" t="s">
        <v>379</v>
      </c>
      <c r="D36" s="156" t="s">
        <v>386</v>
      </c>
      <c r="E36" s="155" t="s">
        <v>211</v>
      </c>
      <c r="F36" s="155" t="s">
        <v>108</v>
      </c>
      <c r="G36" s="177" t="s">
        <v>435</v>
      </c>
      <c r="H36" s="178">
        <v>102.4</v>
      </c>
      <c r="I36" s="178">
        <v>0</v>
      </c>
      <c r="J36" s="178">
        <v>108.5</v>
      </c>
      <c r="K36" s="178">
        <v>0</v>
      </c>
      <c r="L36" s="178">
        <v>100.9</v>
      </c>
      <c r="M36" s="178">
        <v>0</v>
      </c>
      <c r="N36" s="208">
        <v>101.3</v>
      </c>
      <c r="O36" s="208">
        <v>0</v>
      </c>
      <c r="P36" s="178">
        <v>100.9</v>
      </c>
      <c r="Q36" s="178">
        <v>0</v>
      </c>
      <c r="R36" s="178">
        <v>100.9</v>
      </c>
      <c r="S36" s="178">
        <v>0</v>
      </c>
      <c r="T36" s="178">
        <v>100.9</v>
      </c>
      <c r="U36" s="178">
        <v>0</v>
      </c>
      <c r="V36" s="49"/>
      <c r="W36" s="11"/>
      <c r="X36" s="11"/>
      <c r="Y36" s="11"/>
      <c r="Z36" s="11"/>
      <c r="AA36" s="11"/>
      <c r="AB36" s="11"/>
    </row>
    <row r="37" spans="1:28" s="16" customFormat="1" ht="216" customHeight="1" x14ac:dyDescent="0.25">
      <c r="A37" s="14" t="s">
        <v>76</v>
      </c>
      <c r="B37" s="18" t="s">
        <v>461</v>
      </c>
      <c r="C37" s="10" t="s">
        <v>83</v>
      </c>
      <c r="D37" s="10" t="s">
        <v>386</v>
      </c>
      <c r="E37" s="10" t="s">
        <v>459</v>
      </c>
      <c r="F37" s="10" t="s">
        <v>212</v>
      </c>
      <c r="G37" s="179" t="s">
        <v>460</v>
      </c>
      <c r="H37" s="239">
        <v>4</v>
      </c>
      <c r="I37" s="240"/>
      <c r="J37" s="224">
        <v>6</v>
      </c>
      <c r="K37" s="225"/>
      <c r="L37" s="224">
        <v>4</v>
      </c>
      <c r="M37" s="225"/>
      <c r="N37" s="234">
        <v>5</v>
      </c>
      <c r="O37" s="235"/>
      <c r="P37" s="224">
        <v>7</v>
      </c>
      <c r="Q37" s="225"/>
      <c r="R37" s="224">
        <v>7</v>
      </c>
      <c r="S37" s="225"/>
      <c r="T37" s="224">
        <f>H37+J37+L37+N37+P37+R37</f>
        <v>33</v>
      </c>
      <c r="U37" s="225" t="s">
        <v>91</v>
      </c>
      <c r="V37" s="36"/>
      <c r="W37" s="15"/>
      <c r="X37" s="15"/>
      <c r="Y37" s="15"/>
      <c r="Z37" s="15"/>
      <c r="AA37" s="15"/>
      <c r="AB37" s="15"/>
    </row>
    <row r="38" spans="1:28" s="16" customFormat="1" ht="77.25" customHeight="1" x14ac:dyDescent="0.25">
      <c r="A38" s="14" t="s">
        <v>114</v>
      </c>
      <c r="B38" s="9" t="s">
        <v>82</v>
      </c>
      <c r="C38" s="10" t="s">
        <v>118</v>
      </c>
      <c r="D38" s="10" t="s">
        <v>386</v>
      </c>
      <c r="E38" s="10" t="s">
        <v>214</v>
      </c>
      <c r="F38" s="10" t="s">
        <v>344</v>
      </c>
      <c r="G38" s="168" t="s">
        <v>92</v>
      </c>
      <c r="H38" s="224" t="s">
        <v>91</v>
      </c>
      <c r="I38" s="225"/>
      <c r="J38" s="224" t="s">
        <v>91</v>
      </c>
      <c r="K38" s="225"/>
      <c r="L38" s="224" t="s">
        <v>91</v>
      </c>
      <c r="M38" s="225"/>
      <c r="N38" s="234" t="s">
        <v>91</v>
      </c>
      <c r="O38" s="235"/>
      <c r="P38" s="224" t="s">
        <v>91</v>
      </c>
      <c r="Q38" s="225"/>
      <c r="R38" s="224" t="s">
        <v>91</v>
      </c>
      <c r="S38" s="225"/>
      <c r="T38" s="224" t="s">
        <v>91</v>
      </c>
      <c r="U38" s="225" t="s">
        <v>91</v>
      </c>
      <c r="V38" s="36"/>
      <c r="W38" s="15"/>
      <c r="X38" s="15"/>
      <c r="Y38" s="15"/>
      <c r="Z38" s="15"/>
      <c r="AA38" s="15"/>
      <c r="AB38" s="15"/>
    </row>
    <row r="39" spans="1:28" s="16" customFormat="1" ht="85.5" customHeight="1" x14ac:dyDescent="0.25">
      <c r="A39" s="59" t="s">
        <v>75</v>
      </c>
      <c r="B39" s="60" t="s">
        <v>61</v>
      </c>
      <c r="C39" s="75" t="s">
        <v>441</v>
      </c>
      <c r="D39" s="75" t="s">
        <v>386</v>
      </c>
      <c r="E39" s="75" t="s">
        <v>213</v>
      </c>
      <c r="F39" s="75" t="s">
        <v>108</v>
      </c>
      <c r="G39" s="180" t="s">
        <v>93</v>
      </c>
      <c r="H39" s="181">
        <v>751.9</v>
      </c>
      <c r="I39" s="180">
        <v>0</v>
      </c>
      <c r="J39" s="182">
        <v>521.30380000000002</v>
      </c>
      <c r="K39" s="180">
        <v>0</v>
      </c>
      <c r="L39" s="182">
        <v>757.88621000000001</v>
      </c>
      <c r="M39" s="180">
        <v>0</v>
      </c>
      <c r="N39" s="182">
        <v>505</v>
      </c>
      <c r="O39" s="180">
        <v>0</v>
      </c>
      <c r="P39" s="180">
        <v>0</v>
      </c>
      <c r="Q39" s="180">
        <v>0</v>
      </c>
      <c r="R39" s="180">
        <v>0</v>
      </c>
      <c r="S39" s="180">
        <v>0</v>
      </c>
      <c r="T39" s="182">
        <f>H39+J39+L39+N39+P39+R39</f>
        <v>2536.0900099999999</v>
      </c>
      <c r="U39" s="180">
        <f>I39+K39+M39+O39+Q39+S39</f>
        <v>0</v>
      </c>
      <c r="V39" s="36"/>
      <c r="W39" s="15"/>
      <c r="X39" s="15"/>
      <c r="Y39" s="15"/>
      <c r="Z39" s="15"/>
      <c r="AA39" s="15"/>
      <c r="AB39" s="15"/>
    </row>
    <row r="40" spans="1:28" s="16" customFormat="1" ht="85.5" customHeight="1" x14ac:dyDescent="0.25">
      <c r="A40" s="59" t="s">
        <v>366</v>
      </c>
      <c r="B40" s="60" t="s">
        <v>368</v>
      </c>
      <c r="C40" s="75" t="s">
        <v>441</v>
      </c>
      <c r="D40" s="75" t="s">
        <v>386</v>
      </c>
      <c r="E40" s="75" t="s">
        <v>213</v>
      </c>
      <c r="F40" s="75" t="s">
        <v>108</v>
      </c>
      <c r="G40" s="180" t="s">
        <v>93</v>
      </c>
      <c r="H40" s="181">
        <f>42.576+26.067</f>
        <v>68.643000000000001</v>
      </c>
      <c r="I40" s="180">
        <v>0</v>
      </c>
      <c r="J40" s="180">
        <v>145</v>
      </c>
      <c r="K40" s="180">
        <v>0</v>
      </c>
      <c r="L40" s="182">
        <v>652.81468000000007</v>
      </c>
      <c r="M40" s="180">
        <v>0</v>
      </c>
      <c r="N40" s="182">
        <v>2036.9</v>
      </c>
      <c r="O40" s="180">
        <v>0</v>
      </c>
      <c r="P40" s="180">
        <v>0</v>
      </c>
      <c r="Q40" s="180">
        <v>0</v>
      </c>
      <c r="R40" s="180">
        <v>0</v>
      </c>
      <c r="S40" s="180">
        <v>0</v>
      </c>
      <c r="T40" s="181">
        <f>H40+J40+L40+N40+P40+R40</f>
        <v>2903.3576800000001</v>
      </c>
      <c r="U40" s="180">
        <f>I40+K40+M40+O40+Q40+S40</f>
        <v>0</v>
      </c>
      <c r="V40" s="36"/>
      <c r="W40" s="15"/>
      <c r="X40" s="15"/>
      <c r="Y40" s="15"/>
      <c r="Z40" s="15"/>
      <c r="AA40" s="15"/>
      <c r="AB40" s="15"/>
    </row>
    <row r="41" spans="1:28" s="12" customFormat="1" ht="45" customHeight="1" x14ac:dyDescent="0.25">
      <c r="A41" s="60" t="s">
        <v>367</v>
      </c>
      <c r="B41" s="60" t="s">
        <v>342</v>
      </c>
      <c r="C41" s="60" t="s">
        <v>349</v>
      </c>
      <c r="D41" s="75" t="s">
        <v>386</v>
      </c>
      <c r="E41" s="75" t="s">
        <v>348</v>
      </c>
      <c r="F41" s="75" t="s">
        <v>345</v>
      </c>
      <c r="G41" s="180" t="s">
        <v>346</v>
      </c>
      <c r="H41" s="241">
        <v>70</v>
      </c>
      <c r="I41" s="242"/>
      <c r="J41" s="241">
        <v>107</v>
      </c>
      <c r="K41" s="242"/>
      <c r="L41" s="241">
        <v>129</v>
      </c>
      <c r="M41" s="242"/>
      <c r="N41" s="241">
        <v>8</v>
      </c>
      <c r="O41" s="242"/>
      <c r="P41" s="241">
        <v>40</v>
      </c>
      <c r="Q41" s="242"/>
      <c r="R41" s="241">
        <v>40</v>
      </c>
      <c r="S41" s="242"/>
      <c r="T41" s="241">
        <f>H41+J41+L41+N41+P41+R41</f>
        <v>394</v>
      </c>
      <c r="U41" s="242"/>
      <c r="V41" s="49"/>
      <c r="W41" s="11"/>
      <c r="X41" s="11"/>
      <c r="Y41" s="11"/>
      <c r="Z41" s="11"/>
      <c r="AA41" s="11"/>
      <c r="AB41" s="11"/>
    </row>
    <row r="42" spans="1:28" s="16" customFormat="1" ht="27.75" customHeight="1" x14ac:dyDescent="0.25">
      <c r="A42" s="79"/>
      <c r="B42" s="78" t="s">
        <v>105</v>
      </c>
      <c r="C42" s="89"/>
      <c r="D42" s="89"/>
      <c r="E42" s="90"/>
      <c r="F42" s="90"/>
      <c r="G42" s="82"/>
      <c r="H42" s="83">
        <f t="shared" ref="H42:U42" si="3">H16+H23+H31+H39+H40</f>
        <v>16367.54947</v>
      </c>
      <c r="I42" s="83">
        <f t="shared" si="3"/>
        <v>0</v>
      </c>
      <c r="J42" s="83">
        <f t="shared" si="3"/>
        <v>3876.3038000000001</v>
      </c>
      <c r="K42" s="83">
        <f t="shared" si="3"/>
        <v>0</v>
      </c>
      <c r="L42" s="83">
        <f t="shared" si="3"/>
        <v>4235.7008900000001</v>
      </c>
      <c r="M42" s="83">
        <f t="shared" si="3"/>
        <v>0</v>
      </c>
      <c r="N42" s="83">
        <f t="shared" si="3"/>
        <v>4115.49</v>
      </c>
      <c r="O42" s="83">
        <f t="shared" si="3"/>
        <v>0</v>
      </c>
      <c r="P42" s="83">
        <f t="shared" si="3"/>
        <v>535</v>
      </c>
      <c r="Q42" s="83">
        <f t="shared" si="3"/>
        <v>0</v>
      </c>
      <c r="R42" s="83">
        <f t="shared" si="3"/>
        <v>535</v>
      </c>
      <c r="S42" s="83">
        <f t="shared" si="3"/>
        <v>0</v>
      </c>
      <c r="T42" s="83">
        <f t="shared" si="3"/>
        <v>29665.044159999998</v>
      </c>
      <c r="U42" s="83">
        <f t="shared" si="3"/>
        <v>0</v>
      </c>
      <c r="V42" s="37"/>
      <c r="W42" s="15"/>
      <c r="X42" s="15"/>
      <c r="Y42" s="15"/>
      <c r="Z42" s="15"/>
      <c r="AA42" s="15"/>
      <c r="AB42" s="15"/>
    </row>
    <row r="43" spans="1:28" s="27" customFormat="1" ht="20.25" x14ac:dyDescent="0.25">
      <c r="A43" s="25" t="s">
        <v>3</v>
      </c>
      <c r="B43" s="46" t="s">
        <v>5</v>
      </c>
      <c r="C43" s="47"/>
      <c r="D43" s="48"/>
      <c r="E43" s="39"/>
      <c r="F43" s="39"/>
      <c r="G43" s="183"/>
      <c r="H43" s="184"/>
      <c r="I43" s="184"/>
      <c r="J43" s="184"/>
      <c r="K43" s="184"/>
      <c r="L43" s="184"/>
      <c r="M43" s="184"/>
      <c r="N43" s="184"/>
      <c r="O43" s="184"/>
      <c r="P43" s="184"/>
      <c r="Q43" s="184"/>
      <c r="R43" s="184"/>
      <c r="S43" s="184"/>
      <c r="T43" s="184"/>
      <c r="U43" s="184"/>
      <c r="V43" s="38"/>
      <c r="W43" s="26"/>
      <c r="X43" s="26"/>
      <c r="Y43" s="26"/>
      <c r="Z43" s="26"/>
      <c r="AA43" s="26"/>
      <c r="AB43" s="26"/>
    </row>
    <row r="44" spans="1:28" s="58" customFormat="1" ht="20.25" x14ac:dyDescent="0.25">
      <c r="A44" s="66" t="s">
        <v>0</v>
      </c>
      <c r="B44" s="67" t="s">
        <v>6</v>
      </c>
      <c r="C44" s="68"/>
      <c r="D44" s="69"/>
      <c r="E44" s="70"/>
      <c r="F44" s="70"/>
      <c r="G44" s="185"/>
      <c r="H44" s="186">
        <f>H48</f>
        <v>0</v>
      </c>
      <c r="I44" s="186">
        <f t="shared" ref="I44:U44" si="4">I46+I48</f>
        <v>0</v>
      </c>
      <c r="J44" s="186">
        <f t="shared" ref="J44" si="5">J48</f>
        <v>0</v>
      </c>
      <c r="K44" s="186">
        <f t="shared" si="4"/>
        <v>0</v>
      </c>
      <c r="L44" s="186">
        <f t="shared" ref="L44" si="6">L48</f>
        <v>0</v>
      </c>
      <c r="M44" s="186">
        <f t="shared" si="4"/>
        <v>0</v>
      </c>
      <c r="N44" s="186">
        <f t="shared" ref="N44" si="7">N48</f>
        <v>0</v>
      </c>
      <c r="O44" s="186">
        <f t="shared" si="4"/>
        <v>0</v>
      </c>
      <c r="P44" s="186">
        <f t="shared" ref="P44" si="8">P48</f>
        <v>0</v>
      </c>
      <c r="Q44" s="186">
        <f t="shared" si="4"/>
        <v>0</v>
      </c>
      <c r="R44" s="186">
        <f t="shared" ref="R44" si="9">R48</f>
        <v>0</v>
      </c>
      <c r="S44" s="186">
        <f t="shared" si="4"/>
        <v>0</v>
      </c>
      <c r="T44" s="186">
        <f t="shared" ref="T44" si="10">T48</f>
        <v>0</v>
      </c>
      <c r="U44" s="186">
        <f t="shared" si="4"/>
        <v>0</v>
      </c>
      <c r="V44" s="37"/>
      <c r="W44" s="15"/>
      <c r="X44" s="15"/>
      <c r="Y44" s="15"/>
      <c r="Z44" s="15"/>
      <c r="AA44" s="15"/>
      <c r="AB44" s="15"/>
    </row>
    <row r="45" spans="1:28" s="12" customFormat="1" ht="378.75" customHeight="1" x14ac:dyDescent="0.25">
      <c r="A45" s="13" t="s">
        <v>7</v>
      </c>
      <c r="B45" s="10" t="s">
        <v>531</v>
      </c>
      <c r="C45" s="10" t="s">
        <v>125</v>
      </c>
      <c r="D45" s="10">
        <v>2021</v>
      </c>
      <c r="E45" s="10" t="s">
        <v>530</v>
      </c>
      <c r="F45" s="10" t="s">
        <v>532</v>
      </c>
      <c r="G45" s="168" t="s">
        <v>92</v>
      </c>
      <c r="H45" s="226" t="s">
        <v>428</v>
      </c>
      <c r="I45" s="227"/>
      <c r="J45" s="226" t="s">
        <v>428</v>
      </c>
      <c r="K45" s="227"/>
      <c r="L45" s="226" t="s">
        <v>91</v>
      </c>
      <c r="M45" s="227"/>
      <c r="N45" s="232" t="s">
        <v>428</v>
      </c>
      <c r="O45" s="233"/>
      <c r="P45" s="226" t="s">
        <v>428</v>
      </c>
      <c r="Q45" s="227"/>
      <c r="R45" s="226" t="s">
        <v>428</v>
      </c>
      <c r="S45" s="227"/>
      <c r="T45" s="226" t="s">
        <v>91</v>
      </c>
      <c r="U45" s="227"/>
      <c r="V45" s="49"/>
    </row>
    <row r="46" spans="1:28" s="12" customFormat="1" ht="183" customHeight="1" x14ac:dyDescent="0.25">
      <c r="A46" s="13" t="s">
        <v>12</v>
      </c>
      <c r="B46" s="10" t="s">
        <v>508</v>
      </c>
      <c r="C46" s="10" t="s">
        <v>477</v>
      </c>
      <c r="D46" s="10" t="s">
        <v>381</v>
      </c>
      <c r="E46" s="10" t="s">
        <v>299</v>
      </c>
      <c r="F46" s="10" t="s">
        <v>476</v>
      </c>
      <c r="G46" s="168" t="s">
        <v>92</v>
      </c>
      <c r="H46" s="226" t="s">
        <v>428</v>
      </c>
      <c r="I46" s="227"/>
      <c r="J46" s="226" t="s">
        <v>428</v>
      </c>
      <c r="K46" s="227"/>
      <c r="L46" s="226" t="s">
        <v>91</v>
      </c>
      <c r="M46" s="227"/>
      <c r="N46" s="232" t="s">
        <v>428</v>
      </c>
      <c r="O46" s="233"/>
      <c r="P46" s="226" t="s">
        <v>428</v>
      </c>
      <c r="Q46" s="227"/>
      <c r="R46" s="226" t="s">
        <v>428</v>
      </c>
      <c r="S46" s="227"/>
      <c r="T46" s="226" t="s">
        <v>91</v>
      </c>
      <c r="U46" s="227"/>
      <c r="V46" s="49"/>
    </row>
    <row r="47" spans="1:28" s="12" customFormat="1" ht="108.75" customHeight="1" x14ac:dyDescent="0.25">
      <c r="A47" s="14" t="s">
        <v>26</v>
      </c>
      <c r="B47" s="17" t="s">
        <v>55</v>
      </c>
      <c r="C47" s="17" t="s">
        <v>88</v>
      </c>
      <c r="D47" s="17" t="s">
        <v>386</v>
      </c>
      <c r="E47" s="17" t="s">
        <v>238</v>
      </c>
      <c r="F47" s="17" t="s">
        <v>126</v>
      </c>
      <c r="G47" s="179" t="s">
        <v>92</v>
      </c>
      <c r="H47" s="232" t="s">
        <v>91</v>
      </c>
      <c r="I47" s="233"/>
      <c r="J47" s="232" t="s">
        <v>91</v>
      </c>
      <c r="K47" s="233"/>
      <c r="L47" s="232" t="s">
        <v>91</v>
      </c>
      <c r="M47" s="233"/>
      <c r="N47" s="232" t="s">
        <v>91</v>
      </c>
      <c r="O47" s="233"/>
      <c r="P47" s="232" t="s">
        <v>91</v>
      </c>
      <c r="Q47" s="233"/>
      <c r="R47" s="232" t="s">
        <v>91</v>
      </c>
      <c r="S47" s="233"/>
      <c r="T47" s="232" t="s">
        <v>91</v>
      </c>
      <c r="U47" s="233"/>
      <c r="V47" s="49"/>
    </row>
    <row r="48" spans="1:28" s="12" customFormat="1" ht="56.25" hidden="1" x14ac:dyDescent="0.25">
      <c r="A48" s="14" t="s">
        <v>29</v>
      </c>
      <c r="B48" s="17" t="s">
        <v>127</v>
      </c>
      <c r="C48" s="17" t="s">
        <v>88</v>
      </c>
      <c r="D48" s="17" t="s">
        <v>95</v>
      </c>
      <c r="E48" s="17" t="s">
        <v>239</v>
      </c>
      <c r="F48" s="17" t="s">
        <v>108</v>
      </c>
      <c r="G48" s="179" t="s">
        <v>93</v>
      </c>
      <c r="H48" s="176">
        <v>0</v>
      </c>
      <c r="I48" s="176">
        <v>0</v>
      </c>
      <c r="J48" s="176">
        <v>0</v>
      </c>
      <c r="K48" s="176">
        <v>0</v>
      </c>
      <c r="L48" s="176">
        <v>0</v>
      </c>
      <c r="M48" s="176">
        <v>0</v>
      </c>
      <c r="N48" s="176">
        <v>0</v>
      </c>
      <c r="O48" s="176">
        <v>0</v>
      </c>
      <c r="P48" s="176">
        <v>0</v>
      </c>
      <c r="Q48" s="176">
        <v>0</v>
      </c>
      <c r="R48" s="176">
        <v>0</v>
      </c>
      <c r="S48" s="176">
        <v>0</v>
      </c>
      <c r="T48" s="176">
        <f>H48+J48</f>
        <v>0</v>
      </c>
      <c r="U48" s="176">
        <v>0</v>
      </c>
      <c r="V48" s="49"/>
    </row>
    <row r="49" spans="1:28" s="12" customFormat="1" ht="20.25" x14ac:dyDescent="0.25">
      <c r="A49" s="59" t="s">
        <v>30</v>
      </c>
      <c r="B49" s="60" t="s">
        <v>11</v>
      </c>
      <c r="C49" s="61"/>
      <c r="D49" s="62"/>
      <c r="E49" s="71"/>
      <c r="F49" s="71"/>
      <c r="G49" s="172"/>
      <c r="H49" s="173">
        <f t="shared" ref="H49:U49" si="11">H50+H79+H85+H87+H86</f>
        <v>4713.6750000000002</v>
      </c>
      <c r="I49" s="173">
        <f t="shared" si="11"/>
        <v>3424.8</v>
      </c>
      <c r="J49" s="173">
        <f t="shared" si="11"/>
        <v>18828.559159999997</v>
      </c>
      <c r="K49" s="173">
        <f t="shared" si="11"/>
        <v>13200.457719999999</v>
      </c>
      <c r="L49" s="173">
        <f t="shared" si="11"/>
        <v>53344.690480000019</v>
      </c>
      <c r="M49" s="173">
        <f t="shared" si="11"/>
        <v>45538.178550000004</v>
      </c>
      <c r="N49" s="173">
        <f t="shared" si="11"/>
        <v>74656.328099999984</v>
      </c>
      <c r="O49" s="173">
        <f t="shared" si="11"/>
        <v>57617.016849999985</v>
      </c>
      <c r="P49" s="173">
        <f t="shared" si="11"/>
        <v>29091.93158</v>
      </c>
      <c r="Q49" s="173">
        <f t="shared" si="11"/>
        <v>20584.44831</v>
      </c>
      <c r="R49" s="173">
        <f t="shared" si="11"/>
        <v>5094.01</v>
      </c>
      <c r="S49" s="173">
        <f t="shared" si="11"/>
        <v>0</v>
      </c>
      <c r="T49" s="173">
        <f t="shared" si="11"/>
        <v>186436.29431999999</v>
      </c>
      <c r="U49" s="173">
        <f t="shared" si="11"/>
        <v>141072.00143</v>
      </c>
      <c r="V49" s="49"/>
    </row>
    <row r="50" spans="1:28" s="16" customFormat="1" ht="66" customHeight="1" x14ac:dyDescent="0.25">
      <c r="A50" s="10" t="s">
        <v>31</v>
      </c>
      <c r="B50" s="10" t="s">
        <v>130</v>
      </c>
      <c r="C50" s="41" t="s">
        <v>163</v>
      </c>
      <c r="D50" s="41" t="s">
        <v>163</v>
      </c>
      <c r="E50" s="41" t="s">
        <v>163</v>
      </c>
      <c r="F50" s="41" t="s">
        <v>163</v>
      </c>
      <c r="G50" s="179" t="s">
        <v>163</v>
      </c>
      <c r="H50" s="175">
        <f>H51+H52+H53+H54+H55+H56+H58+H59+H60+H62+H68+H70+H64+H57+H65+H71+H61+H63+H66+H69+H74+H75+H76</f>
        <v>4120.875</v>
      </c>
      <c r="I50" s="175">
        <f t="shared" ref="I50:K50" si="12">I51+I52+I53+I54+I55+I56+I58+I59+I60+I62+I68+I70+I64+I57+I65+I71+I61+I63+I66+I69+I74+I75+I76</f>
        <v>3345</v>
      </c>
      <c r="J50" s="175">
        <f t="shared" si="12"/>
        <v>15986.495199999999</v>
      </c>
      <c r="K50" s="175">
        <f t="shared" si="12"/>
        <v>13083.393759999999</v>
      </c>
      <c r="L50" s="175">
        <f t="shared" ref="L50:U50" si="13">L51+L52+L53+L54+L55+L56+L58+L59+L60+L62+L68+L70+L64+L57+L65+L71+L61+L63+L66+L69+L74+L75+L76+L67+L72+L77+L78</f>
        <v>50751.702580000012</v>
      </c>
      <c r="M50" s="175">
        <f t="shared" si="13"/>
        <v>45166.155030000002</v>
      </c>
      <c r="N50" s="176">
        <f t="shared" si="13"/>
        <v>72011.298879999988</v>
      </c>
      <c r="O50" s="176">
        <f t="shared" si="13"/>
        <v>57617.016849999985</v>
      </c>
      <c r="P50" s="175">
        <f t="shared" si="13"/>
        <v>25695.924279999999</v>
      </c>
      <c r="Q50" s="175">
        <f t="shared" si="13"/>
        <v>20584.44831</v>
      </c>
      <c r="R50" s="175">
        <f t="shared" si="13"/>
        <v>0</v>
      </c>
      <c r="S50" s="175">
        <f t="shared" si="13"/>
        <v>0</v>
      </c>
      <c r="T50" s="175">
        <f>T51+T52+T53+T54+T55+T56+T58+T59+T60+T62+T68+T70+T64+T57+T65+T71+T61+T63+T66+T69+T74+T75+T76+T67+T72+T77+T78</f>
        <v>169273.39593999999</v>
      </c>
      <c r="U50" s="175">
        <f t="shared" si="13"/>
        <v>140503.11395</v>
      </c>
      <c r="V50" s="175" t="e">
        <f>V51+V52+V53+V54+V55+V56+V58+V59+V60+#REF!+V62+V68+V70+V64+V57+V65+V71+V61+V63+V66+V69+V74+V75+V76</f>
        <v>#REF!</v>
      </c>
      <c r="W50" s="175" t="e">
        <f>W51+W52+W53+W54+W55+W56+W58+W59+W60+#REF!+W62+W68+W70+W64+W57+W65+W71+W61+W63+W66+W69+W74+W75+W76</f>
        <v>#REF!</v>
      </c>
      <c r="X50" s="175" t="e">
        <f>X51+X52+X53+X54+X55+X56+X58+X59+X60+#REF!+X62+X68+X70+X64+X57+X65+X71+X61+X63+X66+X69+X74+X75+X76</f>
        <v>#REF!</v>
      </c>
      <c r="Y50" s="175" t="e">
        <f>Y51+Y52+Y53+Y54+Y55+Y56+Y58+Y59+Y60+#REF!+Y62+Y68+Y70+Y64+Y57+Y65+Y71+Y61+Y63+Y66+Y69+Y74+Y75+Y76</f>
        <v>#REF!</v>
      </c>
      <c r="Z50" s="175" t="e">
        <f>Z51+Z52+Z53+Z54+Z55+Z56+Z58+Z59+Z60+#REF!+Z62+Z68+Z70+Z64+Z57+Z65+Z71+Z61+Z63+Z66+Z69+Z74+Z75+Z76</f>
        <v>#REF!</v>
      </c>
      <c r="AA50" s="175" t="e">
        <f>AA51+AA52+AA53+AA54+AA55+AA56+AA58+AA59+AA60+#REF!+AA62+AA68+AA70+AA64+AA57+AA65+AA71+AA61+AA63+AA66+AA69+AA74+AA75+AA76</f>
        <v>#REF!</v>
      </c>
      <c r="AB50" s="175" t="e">
        <f>AB51+AB52+AB53+AB54+AB55+AB56+AB58+AB59+AB60+#REF!+AB62+AB68+AB70+AB64+AB57+AB65+AB71+AB61+AB63+AB66+AB69+AB74+AB75+AB76</f>
        <v>#REF!</v>
      </c>
    </row>
    <row r="51" spans="1:28" s="12" customFormat="1" ht="66.75" customHeight="1" x14ac:dyDescent="0.25">
      <c r="A51" s="150" t="s">
        <v>129</v>
      </c>
      <c r="B51" s="158" t="s">
        <v>474</v>
      </c>
      <c r="C51" s="147" t="s">
        <v>400</v>
      </c>
      <c r="D51" s="10" t="s">
        <v>466</v>
      </c>
      <c r="E51" s="10" t="s">
        <v>164</v>
      </c>
      <c r="F51" s="10" t="s">
        <v>108</v>
      </c>
      <c r="G51" s="168" t="s">
        <v>93</v>
      </c>
      <c r="H51" s="175">
        <f>200+1278.875</f>
        <v>1478.875</v>
      </c>
      <c r="I51" s="175">
        <v>1479</v>
      </c>
      <c r="J51" s="175">
        <v>2558</v>
      </c>
      <c r="K51" s="175">
        <f>J51</f>
        <v>2558</v>
      </c>
      <c r="L51" s="175">
        <v>148.404</v>
      </c>
      <c r="M51" s="175">
        <v>148.404</v>
      </c>
      <c r="N51" s="176">
        <v>157.19999999999999</v>
      </c>
      <c r="O51" s="176">
        <v>157.19999999999999</v>
      </c>
      <c r="P51" s="175">
        <v>157.196</v>
      </c>
      <c r="Q51" s="175">
        <v>157.196</v>
      </c>
      <c r="R51" s="175">
        <v>0</v>
      </c>
      <c r="S51" s="175">
        <v>0</v>
      </c>
      <c r="T51" s="175">
        <f t="shared" ref="T51:T61" si="14">H51+J51+L51+N51+P51+R51</f>
        <v>4499.6750000000002</v>
      </c>
      <c r="U51" s="175">
        <f t="shared" ref="U51:U61" si="15">I51+K51+M51+O51+Q51+S51</f>
        <v>4499.8</v>
      </c>
      <c r="V51" s="49"/>
    </row>
    <row r="52" spans="1:28" s="12" customFormat="1" ht="182.25" customHeight="1" x14ac:dyDescent="0.25">
      <c r="A52" s="164" t="s">
        <v>467</v>
      </c>
      <c r="B52" s="165" t="s">
        <v>443</v>
      </c>
      <c r="C52" s="165" t="s">
        <v>444</v>
      </c>
      <c r="D52" s="10">
        <v>2019</v>
      </c>
      <c r="E52" s="10" t="s">
        <v>445</v>
      </c>
      <c r="F52" s="10" t="s">
        <v>108</v>
      </c>
      <c r="G52" s="168" t="s">
        <v>93</v>
      </c>
      <c r="H52" s="175">
        <v>688</v>
      </c>
      <c r="I52" s="175">
        <v>688</v>
      </c>
      <c r="J52" s="175">
        <v>927</v>
      </c>
      <c r="K52" s="175">
        <v>927</v>
      </c>
      <c r="L52" s="175">
        <v>0</v>
      </c>
      <c r="M52" s="175">
        <v>0</v>
      </c>
      <c r="N52" s="176">
        <v>0</v>
      </c>
      <c r="O52" s="176">
        <v>0</v>
      </c>
      <c r="P52" s="175">
        <v>0</v>
      </c>
      <c r="Q52" s="175">
        <v>0</v>
      </c>
      <c r="R52" s="175">
        <v>0</v>
      </c>
      <c r="S52" s="175">
        <v>0</v>
      </c>
      <c r="T52" s="175">
        <f t="shared" si="14"/>
        <v>1615</v>
      </c>
      <c r="U52" s="175">
        <f t="shared" si="15"/>
        <v>1615</v>
      </c>
      <c r="V52" s="49"/>
    </row>
    <row r="53" spans="1:28" s="12" customFormat="1" ht="143.25" customHeight="1" x14ac:dyDescent="0.25">
      <c r="A53" s="214" t="s">
        <v>135</v>
      </c>
      <c r="B53" s="218" t="s">
        <v>475</v>
      </c>
      <c r="C53" s="218" t="s">
        <v>540</v>
      </c>
      <c r="D53" s="10">
        <v>2019</v>
      </c>
      <c r="E53" s="10" t="s">
        <v>393</v>
      </c>
      <c r="F53" s="10" t="s">
        <v>108</v>
      </c>
      <c r="G53" s="168" t="s">
        <v>93</v>
      </c>
      <c r="H53" s="175">
        <v>518</v>
      </c>
      <c r="I53" s="175">
        <v>178</v>
      </c>
      <c r="J53" s="175">
        <v>1553</v>
      </c>
      <c r="K53" s="175">
        <v>535</v>
      </c>
      <c r="L53" s="175">
        <v>0</v>
      </c>
      <c r="M53" s="175">
        <v>0</v>
      </c>
      <c r="N53" s="176">
        <v>0</v>
      </c>
      <c r="O53" s="176">
        <v>0</v>
      </c>
      <c r="P53" s="175">
        <v>0</v>
      </c>
      <c r="Q53" s="175">
        <v>0</v>
      </c>
      <c r="R53" s="175">
        <v>0</v>
      </c>
      <c r="S53" s="175">
        <v>0</v>
      </c>
      <c r="T53" s="175">
        <f t="shared" si="14"/>
        <v>2071</v>
      </c>
      <c r="U53" s="175">
        <f t="shared" si="15"/>
        <v>713</v>
      </c>
      <c r="V53" s="49"/>
    </row>
    <row r="54" spans="1:28" s="12" customFormat="1" ht="143.25" customHeight="1" x14ac:dyDescent="0.25">
      <c r="A54" s="215"/>
      <c r="B54" s="220"/>
      <c r="C54" s="220"/>
      <c r="D54" s="10">
        <v>2019</v>
      </c>
      <c r="E54" s="10" t="s">
        <v>392</v>
      </c>
      <c r="F54" s="10" t="s">
        <v>108</v>
      </c>
      <c r="G54" s="168" t="s">
        <v>93</v>
      </c>
      <c r="H54" s="175">
        <v>254</v>
      </c>
      <c r="I54" s="175">
        <v>0</v>
      </c>
      <c r="J54" s="175">
        <v>872</v>
      </c>
      <c r="K54" s="175">
        <v>0</v>
      </c>
      <c r="L54" s="175">
        <v>0</v>
      </c>
      <c r="M54" s="175">
        <v>0</v>
      </c>
      <c r="N54" s="176">
        <v>0</v>
      </c>
      <c r="O54" s="176">
        <v>0</v>
      </c>
      <c r="P54" s="175">
        <v>0</v>
      </c>
      <c r="Q54" s="175">
        <v>0</v>
      </c>
      <c r="R54" s="175">
        <v>0</v>
      </c>
      <c r="S54" s="175">
        <v>0</v>
      </c>
      <c r="T54" s="175">
        <f t="shared" si="14"/>
        <v>1126</v>
      </c>
      <c r="U54" s="175">
        <f t="shared" si="15"/>
        <v>0</v>
      </c>
      <c r="V54" s="49"/>
    </row>
    <row r="55" spans="1:28" s="12" customFormat="1" ht="143.25" customHeight="1" x14ac:dyDescent="0.25">
      <c r="A55" s="150" t="s">
        <v>380</v>
      </c>
      <c r="B55" s="163" t="s">
        <v>394</v>
      </c>
      <c r="C55" s="148" t="s">
        <v>541</v>
      </c>
      <c r="D55" s="10">
        <v>2019</v>
      </c>
      <c r="E55" s="10" t="s">
        <v>447</v>
      </c>
      <c r="F55" s="10" t="s">
        <v>108</v>
      </c>
      <c r="G55" s="168" t="s">
        <v>93</v>
      </c>
      <c r="H55" s="175">
        <v>427</v>
      </c>
      <c r="I55" s="175">
        <v>427</v>
      </c>
      <c r="J55" s="175">
        <v>1069</v>
      </c>
      <c r="K55" s="175">
        <v>1069</v>
      </c>
      <c r="L55" s="175">
        <v>0</v>
      </c>
      <c r="M55" s="175">
        <v>0</v>
      </c>
      <c r="N55" s="176">
        <v>0</v>
      </c>
      <c r="O55" s="176">
        <v>0</v>
      </c>
      <c r="P55" s="175">
        <v>0</v>
      </c>
      <c r="Q55" s="175">
        <v>0</v>
      </c>
      <c r="R55" s="175">
        <v>0</v>
      </c>
      <c r="S55" s="175">
        <v>0</v>
      </c>
      <c r="T55" s="175">
        <f t="shared" si="14"/>
        <v>1496</v>
      </c>
      <c r="U55" s="175">
        <f t="shared" si="15"/>
        <v>1496</v>
      </c>
      <c r="V55" s="49"/>
    </row>
    <row r="56" spans="1:28" s="12" customFormat="1" ht="115.5" customHeight="1" x14ac:dyDescent="0.25">
      <c r="A56" s="214" t="s">
        <v>391</v>
      </c>
      <c r="B56" s="218" t="s">
        <v>395</v>
      </c>
      <c r="C56" s="218" t="s">
        <v>542</v>
      </c>
      <c r="D56" s="10">
        <v>2019</v>
      </c>
      <c r="E56" s="10" t="s">
        <v>446</v>
      </c>
      <c r="F56" s="10" t="s">
        <v>108</v>
      </c>
      <c r="G56" s="168" t="s">
        <v>93</v>
      </c>
      <c r="H56" s="175">
        <v>564</v>
      </c>
      <c r="I56" s="175">
        <v>382</v>
      </c>
      <c r="J56" s="175">
        <v>1380.6</v>
      </c>
      <c r="K56" s="175">
        <v>944.4</v>
      </c>
      <c r="L56" s="175">
        <v>0</v>
      </c>
      <c r="M56" s="175">
        <v>0</v>
      </c>
      <c r="N56" s="176">
        <v>0</v>
      </c>
      <c r="O56" s="176">
        <v>0</v>
      </c>
      <c r="P56" s="175">
        <v>0</v>
      </c>
      <c r="Q56" s="175">
        <v>0</v>
      </c>
      <c r="R56" s="175">
        <v>0</v>
      </c>
      <c r="S56" s="175">
        <v>0</v>
      </c>
      <c r="T56" s="175">
        <f t="shared" si="14"/>
        <v>1944.6</v>
      </c>
      <c r="U56" s="175">
        <f t="shared" si="15"/>
        <v>1326.4</v>
      </c>
      <c r="V56" s="49"/>
    </row>
    <row r="57" spans="1:28" s="12" customFormat="1" ht="309" customHeight="1" x14ac:dyDescent="0.25">
      <c r="A57" s="215"/>
      <c r="B57" s="220"/>
      <c r="C57" s="220"/>
      <c r="D57" s="10">
        <v>2020</v>
      </c>
      <c r="E57" s="10" t="s">
        <v>514</v>
      </c>
      <c r="F57" s="10" t="s">
        <v>108</v>
      </c>
      <c r="G57" s="168" t="s">
        <v>93</v>
      </c>
      <c r="H57" s="175">
        <v>0</v>
      </c>
      <c r="I57" s="175">
        <v>0</v>
      </c>
      <c r="J57" s="175">
        <f>151+85</f>
        <v>236</v>
      </c>
      <c r="K57" s="175">
        <f>64+85</f>
        <v>149</v>
      </c>
      <c r="L57" s="168">
        <f>2270+255</f>
        <v>2525</v>
      </c>
      <c r="M57" s="168">
        <f>1048+255</f>
        <v>1303</v>
      </c>
      <c r="N57" s="176">
        <v>0</v>
      </c>
      <c r="O57" s="176">
        <v>0</v>
      </c>
      <c r="P57" s="175">
        <v>0</v>
      </c>
      <c r="Q57" s="175">
        <v>0</v>
      </c>
      <c r="R57" s="175">
        <v>0</v>
      </c>
      <c r="S57" s="175">
        <v>0</v>
      </c>
      <c r="T57" s="175">
        <f t="shared" si="14"/>
        <v>2761</v>
      </c>
      <c r="U57" s="175">
        <f t="shared" si="15"/>
        <v>1452</v>
      </c>
      <c r="V57" s="49"/>
    </row>
    <row r="58" spans="1:28" s="12" customFormat="1" ht="78" customHeight="1" x14ac:dyDescent="0.25">
      <c r="A58" s="214" t="s">
        <v>505</v>
      </c>
      <c r="B58" s="218" t="s">
        <v>401</v>
      </c>
      <c r="C58" s="218" t="s">
        <v>543</v>
      </c>
      <c r="D58" s="10">
        <v>2019</v>
      </c>
      <c r="E58" s="10" t="s">
        <v>479</v>
      </c>
      <c r="F58" s="10" t="s">
        <v>108</v>
      </c>
      <c r="G58" s="168" t="s">
        <v>93</v>
      </c>
      <c r="H58" s="175">
        <v>191</v>
      </c>
      <c r="I58" s="175">
        <v>191</v>
      </c>
      <c r="J58" s="175">
        <v>572</v>
      </c>
      <c r="K58" s="175">
        <v>572</v>
      </c>
      <c r="L58" s="175">
        <v>0</v>
      </c>
      <c r="M58" s="175">
        <v>0</v>
      </c>
      <c r="N58" s="176">
        <v>0</v>
      </c>
      <c r="O58" s="176">
        <v>0</v>
      </c>
      <c r="P58" s="175">
        <v>0</v>
      </c>
      <c r="Q58" s="175">
        <v>0</v>
      </c>
      <c r="R58" s="175">
        <v>0</v>
      </c>
      <c r="S58" s="175">
        <v>0</v>
      </c>
      <c r="T58" s="175">
        <f t="shared" si="14"/>
        <v>763</v>
      </c>
      <c r="U58" s="175">
        <f t="shared" si="15"/>
        <v>763</v>
      </c>
      <c r="V58" s="49"/>
    </row>
    <row r="59" spans="1:28" s="12" customFormat="1" ht="236.25" customHeight="1" x14ac:dyDescent="0.25">
      <c r="A59" s="215"/>
      <c r="B59" s="220"/>
      <c r="C59" s="220"/>
      <c r="D59" s="10">
        <v>2020</v>
      </c>
      <c r="E59" s="10" t="s">
        <v>515</v>
      </c>
      <c r="F59" s="10" t="s">
        <v>108</v>
      </c>
      <c r="G59" s="168" t="s">
        <v>93</v>
      </c>
      <c r="H59" s="175">
        <v>0</v>
      </c>
      <c r="I59" s="175">
        <v>0</v>
      </c>
      <c r="J59" s="175">
        <v>3437.5</v>
      </c>
      <c r="K59" s="175">
        <v>3255.08</v>
      </c>
      <c r="L59" s="175">
        <v>14854.1</v>
      </c>
      <c r="M59" s="175">
        <v>14306.8</v>
      </c>
      <c r="N59" s="176">
        <v>0</v>
      </c>
      <c r="O59" s="176">
        <v>0</v>
      </c>
      <c r="P59" s="175">
        <v>0</v>
      </c>
      <c r="Q59" s="175">
        <v>0</v>
      </c>
      <c r="R59" s="175">
        <v>0</v>
      </c>
      <c r="S59" s="175">
        <v>0</v>
      </c>
      <c r="T59" s="175">
        <f>H59+J59+L59+N59+P59+R59</f>
        <v>18291.599999999999</v>
      </c>
      <c r="U59" s="175">
        <f t="shared" si="15"/>
        <v>17561.879999999997</v>
      </c>
      <c r="V59" s="49"/>
    </row>
    <row r="60" spans="1:28" s="12" customFormat="1" ht="180" customHeight="1" x14ac:dyDescent="0.25">
      <c r="A60" s="195" t="s">
        <v>478</v>
      </c>
      <c r="B60" s="194" t="s">
        <v>491</v>
      </c>
      <c r="C60" s="194" t="s">
        <v>544</v>
      </c>
      <c r="D60" s="10">
        <v>2020</v>
      </c>
      <c r="E60" s="10" t="s">
        <v>502</v>
      </c>
      <c r="F60" s="10" t="s">
        <v>108</v>
      </c>
      <c r="G60" s="168" t="s">
        <v>93</v>
      </c>
      <c r="H60" s="175">
        <v>0</v>
      </c>
      <c r="I60" s="175">
        <v>0</v>
      </c>
      <c r="J60" s="175">
        <v>224.09304</v>
      </c>
      <c r="K60" s="175">
        <v>0</v>
      </c>
      <c r="L60" s="175">
        <v>652.70000000000005</v>
      </c>
      <c r="M60" s="175">
        <v>0</v>
      </c>
      <c r="N60" s="176">
        <v>0</v>
      </c>
      <c r="O60" s="176">
        <v>0</v>
      </c>
      <c r="P60" s="175">
        <v>0</v>
      </c>
      <c r="Q60" s="175">
        <v>0</v>
      </c>
      <c r="R60" s="175">
        <v>0</v>
      </c>
      <c r="S60" s="175">
        <v>0</v>
      </c>
      <c r="T60" s="175">
        <f t="shared" si="14"/>
        <v>876.79304000000002</v>
      </c>
      <c r="U60" s="175">
        <f t="shared" si="15"/>
        <v>0</v>
      </c>
      <c r="V60" s="49"/>
    </row>
    <row r="61" spans="1:28" s="12" customFormat="1" ht="111" customHeight="1" x14ac:dyDescent="0.25">
      <c r="A61" s="200" t="s">
        <v>486</v>
      </c>
      <c r="B61" s="202" t="s">
        <v>487</v>
      </c>
      <c r="C61" s="197" t="s">
        <v>545</v>
      </c>
      <c r="D61" s="196">
        <v>2021</v>
      </c>
      <c r="E61" s="196" t="s">
        <v>574</v>
      </c>
      <c r="F61" s="196" t="s">
        <v>108</v>
      </c>
      <c r="G61" s="168" t="s">
        <v>93</v>
      </c>
      <c r="H61" s="175">
        <v>0</v>
      </c>
      <c r="I61" s="175">
        <v>0</v>
      </c>
      <c r="J61" s="175">
        <v>0</v>
      </c>
      <c r="K61" s="175">
        <v>0</v>
      </c>
      <c r="L61" s="175">
        <v>54.867739999999998</v>
      </c>
      <c r="M61" s="175">
        <f>L61</f>
        <v>54.867739999999998</v>
      </c>
      <c r="N61" s="176">
        <v>164.60320999999999</v>
      </c>
      <c r="O61" s="176">
        <f>N61</f>
        <v>164.60320999999999</v>
      </c>
      <c r="P61" s="175">
        <v>0</v>
      </c>
      <c r="Q61" s="175">
        <v>0</v>
      </c>
      <c r="R61" s="175">
        <v>0</v>
      </c>
      <c r="S61" s="175">
        <v>0</v>
      </c>
      <c r="T61" s="175">
        <f t="shared" si="14"/>
        <v>219.47094999999999</v>
      </c>
      <c r="U61" s="175">
        <f t="shared" si="15"/>
        <v>219.47094999999999</v>
      </c>
      <c r="V61" s="49"/>
    </row>
    <row r="62" spans="1:28" s="12" customFormat="1" ht="78" customHeight="1" x14ac:dyDescent="0.25">
      <c r="A62" s="214" t="s">
        <v>506</v>
      </c>
      <c r="B62" s="218" t="s">
        <v>500</v>
      </c>
      <c r="C62" s="218" t="s">
        <v>546</v>
      </c>
      <c r="D62" s="218" t="s">
        <v>503</v>
      </c>
      <c r="E62" s="10" t="s">
        <v>516</v>
      </c>
      <c r="F62" s="10" t="s">
        <v>108</v>
      </c>
      <c r="G62" s="168" t="s">
        <v>93</v>
      </c>
      <c r="H62" s="175">
        <v>0</v>
      </c>
      <c r="I62" s="175">
        <v>0</v>
      </c>
      <c r="J62" s="175">
        <v>0</v>
      </c>
      <c r="K62" s="175">
        <v>0</v>
      </c>
      <c r="L62" s="175">
        <v>312.7</v>
      </c>
      <c r="M62" s="175">
        <v>312.7</v>
      </c>
      <c r="N62" s="176">
        <v>0</v>
      </c>
      <c r="O62" s="176">
        <v>0</v>
      </c>
      <c r="P62" s="175">
        <v>0</v>
      </c>
      <c r="Q62" s="175">
        <v>0</v>
      </c>
      <c r="R62" s="175">
        <v>0</v>
      </c>
      <c r="S62" s="175">
        <v>0</v>
      </c>
      <c r="T62" s="175">
        <f t="shared" ref="T62" si="16">H62+J62+L62+N62+P62+R62</f>
        <v>312.7</v>
      </c>
      <c r="U62" s="175">
        <f t="shared" ref="U62" si="17">I62+K62+M62+O62+Q62+S62</f>
        <v>312.7</v>
      </c>
      <c r="V62" s="49"/>
    </row>
    <row r="63" spans="1:28" s="12" customFormat="1" ht="189" customHeight="1" x14ac:dyDescent="0.25">
      <c r="A63" s="221"/>
      <c r="B63" s="219"/>
      <c r="C63" s="219"/>
      <c r="D63" s="219"/>
      <c r="E63" s="10" t="s">
        <v>517</v>
      </c>
      <c r="F63" s="10" t="s">
        <v>108</v>
      </c>
      <c r="G63" s="168" t="s">
        <v>93</v>
      </c>
      <c r="H63" s="175">
        <v>0</v>
      </c>
      <c r="I63" s="175">
        <v>0</v>
      </c>
      <c r="J63" s="175">
        <v>0</v>
      </c>
      <c r="K63" s="175">
        <v>0</v>
      </c>
      <c r="L63" s="175">
        <v>7432.8</v>
      </c>
      <c r="M63" s="175">
        <v>7257.6</v>
      </c>
      <c r="N63" s="176">
        <v>10493.4</v>
      </c>
      <c r="O63" s="176">
        <v>10246.049999999999</v>
      </c>
      <c r="P63" s="175">
        <v>0</v>
      </c>
      <c r="Q63" s="175">
        <v>0</v>
      </c>
      <c r="R63" s="175">
        <v>0</v>
      </c>
      <c r="S63" s="175">
        <v>0</v>
      </c>
      <c r="T63" s="175">
        <f t="shared" ref="T63" si="18">H63+J63+L63+N63+P63+R63</f>
        <v>17926.2</v>
      </c>
      <c r="U63" s="175">
        <f t="shared" ref="U63" si="19">I63+K63+M63+O63+Q63+S63</f>
        <v>17503.650000000001</v>
      </c>
      <c r="V63" s="49"/>
    </row>
    <row r="64" spans="1:28" s="12" customFormat="1" ht="212.25" customHeight="1" x14ac:dyDescent="0.25">
      <c r="A64" s="221"/>
      <c r="B64" s="219"/>
      <c r="C64" s="219"/>
      <c r="D64" s="219"/>
      <c r="E64" s="10" t="s">
        <v>518</v>
      </c>
      <c r="F64" s="10" t="s">
        <v>108</v>
      </c>
      <c r="G64" s="168" t="s">
        <v>93</v>
      </c>
      <c r="H64" s="175">
        <v>0</v>
      </c>
      <c r="I64" s="175">
        <v>0</v>
      </c>
      <c r="J64" s="175">
        <v>0</v>
      </c>
      <c r="K64" s="175">
        <v>0</v>
      </c>
      <c r="L64" s="175">
        <v>7280.3</v>
      </c>
      <c r="M64" s="175">
        <v>7128.4</v>
      </c>
      <c r="N64" s="176">
        <v>13440.5</v>
      </c>
      <c r="O64" s="176">
        <v>13160.2</v>
      </c>
      <c r="P64" s="175">
        <v>0</v>
      </c>
      <c r="Q64" s="175">
        <v>0</v>
      </c>
      <c r="R64" s="175">
        <v>0</v>
      </c>
      <c r="S64" s="175">
        <v>0</v>
      </c>
      <c r="T64" s="175">
        <f t="shared" ref="T64:T70" si="20">H64+J64+L64+N64+P64+R64</f>
        <v>20720.8</v>
      </c>
      <c r="U64" s="175">
        <f t="shared" ref="U64:U70" si="21">I64+K64+M64+O64+Q64+S64</f>
        <v>20288.599999999999</v>
      </c>
      <c r="V64" s="49"/>
    </row>
    <row r="65" spans="1:28" s="12" customFormat="1" ht="75.75" customHeight="1" x14ac:dyDescent="0.25">
      <c r="A65" s="221"/>
      <c r="B65" s="219"/>
      <c r="C65" s="219"/>
      <c r="D65" s="219"/>
      <c r="E65" s="196" t="s">
        <v>572</v>
      </c>
      <c r="F65" s="196" t="s">
        <v>108</v>
      </c>
      <c r="G65" s="168" t="s">
        <v>93</v>
      </c>
      <c r="H65" s="175">
        <v>0</v>
      </c>
      <c r="I65" s="175">
        <v>0</v>
      </c>
      <c r="J65" s="175">
        <v>0</v>
      </c>
      <c r="K65" s="175">
        <v>0</v>
      </c>
      <c r="L65" s="204">
        <v>220.98</v>
      </c>
      <c r="M65" s="204">
        <f>L65</f>
        <v>220.98</v>
      </c>
      <c r="N65" s="209">
        <v>903.23748000000001</v>
      </c>
      <c r="O65" s="209">
        <f>N65</f>
        <v>903.23748000000001</v>
      </c>
      <c r="P65" s="175">
        <v>0</v>
      </c>
      <c r="Q65" s="175">
        <v>0</v>
      </c>
      <c r="R65" s="175">
        <v>0</v>
      </c>
      <c r="S65" s="175">
        <v>0</v>
      </c>
      <c r="T65" s="175">
        <f t="shared" si="20"/>
        <v>1124.21748</v>
      </c>
      <c r="U65" s="175">
        <f t="shared" si="21"/>
        <v>1124.21748</v>
      </c>
      <c r="V65" s="49"/>
    </row>
    <row r="66" spans="1:28" s="12" customFormat="1" ht="273.75" customHeight="1" x14ac:dyDescent="0.25">
      <c r="A66" s="221"/>
      <c r="B66" s="219"/>
      <c r="C66" s="219"/>
      <c r="D66" s="220"/>
      <c r="E66" s="196" t="s">
        <v>569</v>
      </c>
      <c r="F66" s="196" t="s">
        <v>108</v>
      </c>
      <c r="G66" s="168" t="s">
        <v>93</v>
      </c>
      <c r="H66" s="175">
        <v>0</v>
      </c>
      <c r="I66" s="175">
        <v>0</v>
      </c>
      <c r="J66" s="175">
        <v>0</v>
      </c>
      <c r="K66" s="175">
        <v>0</v>
      </c>
      <c r="L66" s="204">
        <v>1202.0137</v>
      </c>
      <c r="M66" s="204">
        <v>1030.25711</v>
      </c>
      <c r="N66" s="209">
        <v>14424.164290000001</v>
      </c>
      <c r="O66" s="209">
        <v>12363.08527</v>
      </c>
      <c r="P66" s="175">
        <v>0</v>
      </c>
      <c r="Q66" s="175">
        <v>0</v>
      </c>
      <c r="R66" s="175">
        <v>0</v>
      </c>
      <c r="S66" s="175">
        <v>0</v>
      </c>
      <c r="T66" s="175">
        <f t="shared" si="20"/>
        <v>15626.17799</v>
      </c>
      <c r="U66" s="175">
        <f t="shared" si="21"/>
        <v>13393.34238</v>
      </c>
      <c r="V66" s="49"/>
    </row>
    <row r="67" spans="1:28" s="12" customFormat="1" ht="409.6" customHeight="1" x14ac:dyDescent="0.25">
      <c r="A67" s="215"/>
      <c r="B67" s="220"/>
      <c r="C67" s="220"/>
      <c r="D67" s="198">
        <v>2022</v>
      </c>
      <c r="E67" s="196" t="s">
        <v>597</v>
      </c>
      <c r="F67" s="196" t="s">
        <v>108</v>
      </c>
      <c r="G67" s="168" t="s">
        <v>93</v>
      </c>
      <c r="H67" s="175">
        <v>0</v>
      </c>
      <c r="I67" s="175">
        <v>0</v>
      </c>
      <c r="J67" s="175">
        <v>0</v>
      </c>
      <c r="K67" s="175">
        <v>0</v>
      </c>
      <c r="L67" s="204">
        <v>0</v>
      </c>
      <c r="M67" s="209">
        <v>0</v>
      </c>
      <c r="N67" s="209">
        <v>11208.30409</v>
      </c>
      <c r="O67" s="209">
        <v>8037.1</v>
      </c>
      <c r="P67" s="175">
        <f>29496-3957.27172</f>
        <v>25538.728279999999</v>
      </c>
      <c r="Q67" s="175">
        <f>29496-5111.47597-3957.27172</f>
        <v>20427.25231</v>
      </c>
      <c r="R67" s="175">
        <v>0</v>
      </c>
      <c r="S67" s="175">
        <v>0</v>
      </c>
      <c r="T67" s="175">
        <f>H67+J67+L67+N67+P67+R67</f>
        <v>36747.032370000001</v>
      </c>
      <c r="U67" s="175">
        <f>I67+K67+M67+O67+Q67+S67</f>
        <v>28464.352310000002</v>
      </c>
      <c r="V67" s="49"/>
    </row>
    <row r="68" spans="1:28" s="12" customFormat="1" ht="149.25" customHeight="1" x14ac:dyDescent="0.25">
      <c r="A68" s="214" t="s">
        <v>492</v>
      </c>
      <c r="B68" s="218" t="s">
        <v>501</v>
      </c>
      <c r="C68" s="218" t="s">
        <v>547</v>
      </c>
      <c r="D68" s="218">
        <v>2021</v>
      </c>
      <c r="E68" s="196" t="s">
        <v>536</v>
      </c>
      <c r="F68" s="196" t="s">
        <v>108</v>
      </c>
      <c r="G68" s="168" t="s">
        <v>93</v>
      </c>
      <c r="H68" s="175">
        <v>0</v>
      </c>
      <c r="I68" s="175">
        <v>0</v>
      </c>
      <c r="J68" s="175">
        <v>0</v>
      </c>
      <c r="K68" s="175">
        <v>0</v>
      </c>
      <c r="L68" s="175">
        <v>855.2</v>
      </c>
      <c r="M68" s="175">
        <f>L68</f>
        <v>855.2</v>
      </c>
      <c r="N68" s="176">
        <v>1207.3</v>
      </c>
      <c r="O68" s="176">
        <f>N68</f>
        <v>1207.3</v>
      </c>
      <c r="P68" s="175">
        <v>0</v>
      </c>
      <c r="Q68" s="175">
        <v>0</v>
      </c>
      <c r="R68" s="175">
        <v>0</v>
      </c>
      <c r="S68" s="175">
        <v>0</v>
      </c>
      <c r="T68" s="175">
        <f t="shared" si="20"/>
        <v>2062.5</v>
      </c>
      <c r="U68" s="175">
        <f t="shared" si="21"/>
        <v>2062.5</v>
      </c>
      <c r="V68" s="49"/>
    </row>
    <row r="69" spans="1:28" s="12" customFormat="1" ht="53.25" customHeight="1" x14ac:dyDescent="0.25">
      <c r="A69" s="215"/>
      <c r="B69" s="220"/>
      <c r="C69" s="220"/>
      <c r="D69" s="220"/>
      <c r="E69" s="196" t="s">
        <v>537</v>
      </c>
      <c r="F69" s="196" t="s">
        <v>108</v>
      </c>
      <c r="G69" s="168" t="s">
        <v>93</v>
      </c>
      <c r="H69" s="175">
        <v>0</v>
      </c>
      <c r="I69" s="175">
        <v>0</v>
      </c>
      <c r="J69" s="175">
        <v>0</v>
      </c>
      <c r="K69" s="175">
        <v>0</v>
      </c>
      <c r="L69" s="175">
        <v>109.9242</v>
      </c>
      <c r="M69" s="175">
        <f>L69</f>
        <v>109.9242</v>
      </c>
      <c r="N69" s="176">
        <v>329.77260000000001</v>
      </c>
      <c r="O69" s="176">
        <v>329.77260000000001</v>
      </c>
      <c r="P69" s="175">
        <v>0</v>
      </c>
      <c r="Q69" s="175">
        <v>0</v>
      </c>
      <c r="R69" s="175">
        <v>0</v>
      </c>
      <c r="S69" s="175">
        <v>0</v>
      </c>
      <c r="T69" s="175">
        <f t="shared" si="20"/>
        <v>439.6968</v>
      </c>
      <c r="U69" s="175">
        <f t="shared" si="21"/>
        <v>439.6968</v>
      </c>
      <c r="V69" s="49"/>
    </row>
    <row r="70" spans="1:28" s="12" customFormat="1" ht="308.25" customHeight="1" x14ac:dyDescent="0.25">
      <c r="A70" s="214" t="s">
        <v>493</v>
      </c>
      <c r="B70" s="218" t="s">
        <v>504</v>
      </c>
      <c r="C70" s="218" t="s">
        <v>559</v>
      </c>
      <c r="D70" s="196">
        <v>2020</v>
      </c>
      <c r="E70" s="196" t="s">
        <v>520</v>
      </c>
      <c r="F70" s="196" t="s">
        <v>108</v>
      </c>
      <c r="G70" s="168" t="s">
        <v>93</v>
      </c>
      <c r="H70" s="175">
        <v>0</v>
      </c>
      <c r="I70" s="175">
        <v>0</v>
      </c>
      <c r="J70" s="175">
        <f>72.96484+256.68356+32.08544+605.84872+603.96136+979.5498-13.5506+359.15904+260.6</f>
        <v>3157.3021599999997</v>
      </c>
      <c r="K70" s="175">
        <f>256.68356+32.08544+605.84872+603.96136+979.5498-13.5506+348.73548+260.6</f>
        <v>3073.9137599999999</v>
      </c>
      <c r="L70" s="175">
        <v>6071.7131799999997</v>
      </c>
      <c r="M70" s="175">
        <v>5852.8185999999996</v>
      </c>
      <c r="N70" s="176">
        <v>0</v>
      </c>
      <c r="O70" s="176">
        <v>0</v>
      </c>
      <c r="P70" s="175">
        <v>0</v>
      </c>
      <c r="Q70" s="175">
        <v>0</v>
      </c>
      <c r="R70" s="175">
        <v>0</v>
      </c>
      <c r="S70" s="175">
        <v>0</v>
      </c>
      <c r="T70" s="175">
        <f t="shared" si="20"/>
        <v>9229.0153399999999</v>
      </c>
      <c r="U70" s="175">
        <f t="shared" si="21"/>
        <v>8926.73236</v>
      </c>
      <c r="V70" s="49"/>
    </row>
    <row r="71" spans="1:28" s="12" customFormat="1" ht="121.5" customHeight="1" x14ac:dyDescent="0.25">
      <c r="A71" s="221"/>
      <c r="B71" s="219"/>
      <c r="C71" s="219"/>
      <c r="D71" s="196">
        <v>2021</v>
      </c>
      <c r="E71" s="196" t="s">
        <v>528</v>
      </c>
      <c r="F71" s="196" t="s">
        <v>108</v>
      </c>
      <c r="G71" s="168" t="s">
        <v>93</v>
      </c>
      <c r="H71" s="175">
        <v>0</v>
      </c>
      <c r="I71" s="175">
        <v>0</v>
      </c>
      <c r="J71" s="175">
        <v>0</v>
      </c>
      <c r="K71" s="175">
        <v>0</v>
      </c>
      <c r="L71" s="175">
        <v>236.09</v>
      </c>
      <c r="M71" s="175">
        <v>84.25</v>
      </c>
      <c r="N71" s="176">
        <v>490.53</v>
      </c>
      <c r="O71" s="176">
        <v>210.22</v>
      </c>
      <c r="P71" s="175">
        <v>0</v>
      </c>
      <c r="Q71" s="175">
        <v>0</v>
      </c>
      <c r="R71" s="175">
        <v>0</v>
      </c>
      <c r="S71" s="175">
        <v>0</v>
      </c>
      <c r="T71" s="175">
        <f t="shared" ref="T71:T74" si="22">H71+J71+L71+N71+P71+R71</f>
        <v>726.62</v>
      </c>
      <c r="U71" s="175">
        <f t="shared" ref="U71:U74" si="23">I71+K71+M71+O71+Q71+S71</f>
        <v>294.47000000000003</v>
      </c>
      <c r="V71" s="49"/>
    </row>
    <row r="72" spans="1:28" s="12" customFormat="1" ht="348" customHeight="1" x14ac:dyDescent="0.25">
      <c r="A72" s="221"/>
      <c r="B72" s="219"/>
      <c r="C72" s="219"/>
      <c r="D72" s="218">
        <v>2021</v>
      </c>
      <c r="E72" s="218" t="s">
        <v>586</v>
      </c>
      <c r="F72" s="218" t="s">
        <v>108</v>
      </c>
      <c r="G72" s="222" t="s">
        <v>93</v>
      </c>
      <c r="H72" s="212">
        <v>0</v>
      </c>
      <c r="I72" s="212">
        <v>0</v>
      </c>
      <c r="J72" s="212">
        <v>0</v>
      </c>
      <c r="K72" s="212">
        <v>0</v>
      </c>
      <c r="L72" s="216">
        <v>3655.06432</v>
      </c>
      <c r="M72" s="216">
        <v>3552.8348000000001</v>
      </c>
      <c r="N72" s="210">
        <v>7310.1286399999999</v>
      </c>
      <c r="O72" s="210">
        <v>7105.6696000000002</v>
      </c>
      <c r="P72" s="212">
        <v>0</v>
      </c>
      <c r="Q72" s="212">
        <v>0</v>
      </c>
      <c r="R72" s="212">
        <v>0</v>
      </c>
      <c r="S72" s="212">
        <v>0</v>
      </c>
      <c r="T72" s="212">
        <f>H72+J72+L72+N72+P72+R72</f>
        <v>10965.19296</v>
      </c>
      <c r="U72" s="212">
        <f t="shared" ref="U72" si="24">I72+K72+M72+O72+Q72+S72</f>
        <v>10658.5044</v>
      </c>
      <c r="V72" s="49"/>
    </row>
    <row r="73" spans="1:28" s="12" customFormat="1" ht="190.5" customHeight="1" x14ac:dyDescent="0.25">
      <c r="A73" s="215"/>
      <c r="B73" s="220"/>
      <c r="C73" s="219"/>
      <c r="D73" s="220"/>
      <c r="E73" s="220"/>
      <c r="F73" s="220"/>
      <c r="G73" s="223"/>
      <c r="H73" s="213"/>
      <c r="I73" s="213"/>
      <c r="J73" s="213"/>
      <c r="K73" s="213"/>
      <c r="L73" s="217"/>
      <c r="M73" s="217"/>
      <c r="N73" s="211"/>
      <c r="O73" s="211"/>
      <c r="P73" s="213"/>
      <c r="Q73" s="213"/>
      <c r="R73" s="213"/>
      <c r="S73" s="213"/>
      <c r="T73" s="213"/>
      <c r="U73" s="213"/>
      <c r="V73" s="49"/>
    </row>
    <row r="74" spans="1:28" s="12" customFormat="1" ht="144" customHeight="1" x14ac:dyDescent="0.25">
      <c r="A74" s="201" t="s">
        <v>534</v>
      </c>
      <c r="B74" s="203" t="s">
        <v>535</v>
      </c>
      <c r="C74" s="13" t="s">
        <v>584</v>
      </c>
      <c r="D74" s="196">
        <v>2021</v>
      </c>
      <c r="E74" s="196" t="s">
        <v>568</v>
      </c>
      <c r="F74" s="196" t="s">
        <v>108</v>
      </c>
      <c r="G74" s="168" t="s">
        <v>93</v>
      </c>
      <c r="H74" s="175">
        <v>0</v>
      </c>
      <c r="I74" s="175">
        <v>0</v>
      </c>
      <c r="J74" s="175">
        <v>0</v>
      </c>
      <c r="K74" s="175">
        <v>0</v>
      </c>
      <c r="L74" s="204">
        <v>101.43043</v>
      </c>
      <c r="M74" s="204">
        <f>L74</f>
        <v>101.43043</v>
      </c>
      <c r="N74" s="209">
        <v>1217.16516</v>
      </c>
      <c r="O74" s="209">
        <f>N74</f>
        <v>1217.16516</v>
      </c>
      <c r="P74" s="175">
        <v>0</v>
      </c>
      <c r="Q74" s="175">
        <v>0</v>
      </c>
      <c r="R74" s="175">
        <v>0</v>
      </c>
      <c r="S74" s="175">
        <v>0</v>
      </c>
      <c r="T74" s="175">
        <f t="shared" si="22"/>
        <v>1318.5955899999999</v>
      </c>
      <c r="U74" s="175">
        <f t="shared" si="23"/>
        <v>1318.5955899999999</v>
      </c>
      <c r="V74" s="49"/>
    </row>
    <row r="75" spans="1:28" s="12" customFormat="1" ht="111" customHeight="1" x14ac:dyDescent="0.25">
      <c r="A75" s="201" t="s">
        <v>538</v>
      </c>
      <c r="B75" s="203" t="s">
        <v>563</v>
      </c>
      <c r="C75" s="199" t="s">
        <v>548</v>
      </c>
      <c r="D75" s="196">
        <v>2021</v>
      </c>
      <c r="E75" s="196" t="s">
        <v>585</v>
      </c>
      <c r="F75" s="196" t="s">
        <v>108</v>
      </c>
      <c r="G75" s="168" t="s">
        <v>93</v>
      </c>
      <c r="H75" s="175">
        <v>0</v>
      </c>
      <c r="I75" s="175">
        <v>0</v>
      </c>
      <c r="J75" s="175">
        <v>0</v>
      </c>
      <c r="K75" s="175">
        <v>0</v>
      </c>
      <c r="L75" s="204">
        <v>79.643339999999995</v>
      </c>
      <c r="M75" s="204">
        <v>0</v>
      </c>
      <c r="N75" s="209">
        <v>238.93002000000001</v>
      </c>
      <c r="O75" s="209">
        <v>0</v>
      </c>
      <c r="P75" s="175">
        <v>0</v>
      </c>
      <c r="Q75" s="175">
        <v>0</v>
      </c>
      <c r="R75" s="175">
        <v>0</v>
      </c>
      <c r="S75" s="175">
        <v>0</v>
      </c>
      <c r="T75" s="175">
        <f t="shared" ref="T75" si="25">H75+J75+L75+N75+P75+R75</f>
        <v>318.57335999999998</v>
      </c>
      <c r="U75" s="175">
        <f>I75+K75+M75+O75+Q75+S75</f>
        <v>0</v>
      </c>
      <c r="V75" s="49"/>
    </row>
    <row r="76" spans="1:28" s="12" customFormat="1" ht="190.5" customHeight="1" x14ac:dyDescent="0.25">
      <c r="A76" s="201" t="s">
        <v>539</v>
      </c>
      <c r="B76" s="203" t="s">
        <v>564</v>
      </c>
      <c r="C76" s="199" t="s">
        <v>549</v>
      </c>
      <c r="D76" s="196">
        <v>2021</v>
      </c>
      <c r="E76" s="196" t="s">
        <v>560</v>
      </c>
      <c r="F76" s="196" t="s">
        <v>108</v>
      </c>
      <c r="G76" s="168" t="s">
        <v>93</v>
      </c>
      <c r="H76" s="175">
        <v>0</v>
      </c>
      <c r="I76" s="175">
        <v>0</v>
      </c>
      <c r="J76" s="175">
        <v>0</v>
      </c>
      <c r="K76" s="175">
        <v>0</v>
      </c>
      <c r="L76" s="204">
        <v>849.80458999999996</v>
      </c>
      <c r="M76" s="204">
        <v>0</v>
      </c>
      <c r="N76" s="209">
        <v>3399.21837</v>
      </c>
      <c r="O76" s="209">
        <v>0</v>
      </c>
      <c r="P76" s="175">
        <v>0</v>
      </c>
      <c r="Q76" s="175">
        <v>0</v>
      </c>
      <c r="R76" s="175">
        <v>0</v>
      </c>
      <c r="S76" s="175">
        <v>0</v>
      </c>
      <c r="T76" s="175">
        <f t="shared" ref="T76:T78" si="26">H76+J76+L76+N76+P76+R76</f>
        <v>4249.0229600000002</v>
      </c>
      <c r="U76" s="175">
        <f>I76+K76+M76+O76+Q76+S76</f>
        <v>0</v>
      </c>
      <c r="V76" s="49"/>
    </row>
    <row r="77" spans="1:28" s="12" customFormat="1" ht="189" customHeight="1" x14ac:dyDescent="0.25">
      <c r="A77" s="201" t="s">
        <v>562</v>
      </c>
      <c r="B77" s="203" t="s">
        <v>565</v>
      </c>
      <c r="C77" s="199" t="s">
        <v>566</v>
      </c>
      <c r="D77" s="196">
        <v>2021</v>
      </c>
      <c r="E77" s="196" t="s">
        <v>587</v>
      </c>
      <c r="F77" s="196" t="s">
        <v>108</v>
      </c>
      <c r="G77" s="168" t="s">
        <v>93</v>
      </c>
      <c r="H77" s="175">
        <v>0</v>
      </c>
      <c r="I77" s="175">
        <v>0</v>
      </c>
      <c r="J77" s="175">
        <v>0</v>
      </c>
      <c r="K77" s="175">
        <v>0</v>
      </c>
      <c r="L77" s="175">
        <f>1059.46875+65.95453</f>
        <v>1125.42328</v>
      </c>
      <c r="M77" s="204">
        <v>0</v>
      </c>
      <c r="N77" s="209">
        <v>4208.0406599999997</v>
      </c>
      <c r="O77" s="209">
        <v>0</v>
      </c>
      <c r="P77" s="175">
        <v>0</v>
      </c>
      <c r="Q77" s="175">
        <v>0</v>
      </c>
      <c r="R77" s="175">
        <v>0</v>
      </c>
      <c r="S77" s="175">
        <v>0</v>
      </c>
      <c r="T77" s="175">
        <f t="shared" si="26"/>
        <v>5333.4639399999996</v>
      </c>
      <c r="U77" s="175">
        <f>I77+K77+M77+O77+Q77+S77</f>
        <v>0</v>
      </c>
      <c r="V77" s="49"/>
    </row>
    <row r="78" spans="1:28" s="12" customFormat="1" ht="237" customHeight="1" x14ac:dyDescent="0.25">
      <c r="A78" s="201" t="s">
        <v>582</v>
      </c>
      <c r="B78" s="203" t="s">
        <v>583</v>
      </c>
      <c r="C78" s="199" t="s">
        <v>556</v>
      </c>
      <c r="D78" s="196">
        <v>2020</v>
      </c>
      <c r="E78" s="196" t="s">
        <v>581</v>
      </c>
      <c r="F78" s="196" t="s">
        <v>108</v>
      </c>
      <c r="G78" s="168" t="s">
        <v>93</v>
      </c>
      <c r="H78" s="175">
        <v>0</v>
      </c>
      <c r="I78" s="175">
        <v>0</v>
      </c>
      <c r="J78" s="175">
        <v>707.1</v>
      </c>
      <c r="K78" s="175">
        <v>707.1</v>
      </c>
      <c r="L78" s="175">
        <f>880.40459+1269.34485+798.61861+35.17575</f>
        <v>2983.5437999999999</v>
      </c>
      <c r="M78" s="204">
        <f>2846.68815</f>
        <v>2846.68815</v>
      </c>
      <c r="N78" s="209">
        <v>2818.8043600000001</v>
      </c>
      <c r="O78" s="209">
        <v>2515.4135299999998</v>
      </c>
      <c r="P78" s="175">
        <v>0</v>
      </c>
      <c r="Q78" s="175">
        <v>0</v>
      </c>
      <c r="R78" s="175">
        <v>0</v>
      </c>
      <c r="S78" s="175">
        <v>0</v>
      </c>
      <c r="T78" s="204">
        <f t="shared" si="26"/>
        <v>6509.4481599999999</v>
      </c>
      <c r="U78" s="204">
        <f>I78+K78+M78+O78+Q78+S78</f>
        <v>6069.2016800000001</v>
      </c>
      <c r="V78" s="49"/>
    </row>
    <row r="79" spans="1:28" s="12" customFormat="1" ht="124.5" customHeight="1" x14ac:dyDescent="0.25">
      <c r="A79" s="10" t="s">
        <v>32</v>
      </c>
      <c r="B79" s="10" t="s">
        <v>561</v>
      </c>
      <c r="C79" s="20" t="s">
        <v>163</v>
      </c>
      <c r="D79" s="20" t="s">
        <v>163</v>
      </c>
      <c r="E79" s="20" t="s">
        <v>163</v>
      </c>
      <c r="F79" s="20" t="s">
        <v>163</v>
      </c>
      <c r="G79" s="168" t="s">
        <v>163</v>
      </c>
      <c r="H79" s="175">
        <f>H80+H81+H82</f>
        <v>513</v>
      </c>
      <c r="I79" s="175">
        <f t="shared" ref="I79:AB79" si="27">I80+I81+I82</f>
        <v>0</v>
      </c>
      <c r="J79" s="175">
        <f t="shared" si="27"/>
        <v>2443</v>
      </c>
      <c r="K79" s="175">
        <f t="shared" si="27"/>
        <v>0</v>
      </c>
      <c r="L79" s="175">
        <f>L80+L81+L82+L83</f>
        <v>824.4316</v>
      </c>
      <c r="M79" s="175">
        <f t="shared" ref="M79:U79" si="28">M80+M81+M82+M83</f>
        <v>0</v>
      </c>
      <c r="N79" s="176">
        <f>N80+N81+N82+N83</f>
        <v>1978.6358600000001</v>
      </c>
      <c r="O79" s="176">
        <f t="shared" si="28"/>
        <v>0</v>
      </c>
      <c r="P79" s="175">
        <f t="shared" si="28"/>
        <v>3396.0073000000002</v>
      </c>
      <c r="Q79" s="175">
        <f t="shared" si="28"/>
        <v>0</v>
      </c>
      <c r="R79" s="175">
        <f t="shared" si="28"/>
        <v>5094.01</v>
      </c>
      <c r="S79" s="175">
        <f t="shared" si="28"/>
        <v>0</v>
      </c>
      <c r="T79" s="175">
        <f t="shared" si="28"/>
        <v>14249.08476</v>
      </c>
      <c r="U79" s="175">
        <f t="shared" si="28"/>
        <v>0</v>
      </c>
      <c r="V79" s="54">
        <f t="shared" si="27"/>
        <v>0</v>
      </c>
      <c r="W79" s="54">
        <f t="shared" si="27"/>
        <v>0</v>
      </c>
      <c r="X79" s="54">
        <f t="shared" si="27"/>
        <v>0</v>
      </c>
      <c r="Y79" s="54">
        <f t="shared" si="27"/>
        <v>0</v>
      </c>
      <c r="Z79" s="54">
        <f t="shared" si="27"/>
        <v>0</v>
      </c>
      <c r="AA79" s="54">
        <f t="shared" si="27"/>
        <v>0</v>
      </c>
      <c r="AB79" s="54">
        <f t="shared" si="27"/>
        <v>0</v>
      </c>
    </row>
    <row r="80" spans="1:28" s="12" customFormat="1" ht="84.75" customHeight="1" x14ac:dyDescent="0.25">
      <c r="A80" s="154" t="s">
        <v>468</v>
      </c>
      <c r="B80" s="42" t="s">
        <v>288</v>
      </c>
      <c r="C80" s="10" t="s">
        <v>550</v>
      </c>
      <c r="D80" s="188">
        <v>2019</v>
      </c>
      <c r="E80" s="10" t="s">
        <v>396</v>
      </c>
      <c r="F80" s="10" t="s">
        <v>231</v>
      </c>
      <c r="G80" s="168" t="s">
        <v>93</v>
      </c>
      <c r="H80" s="175">
        <v>465</v>
      </c>
      <c r="I80" s="175">
        <v>0</v>
      </c>
      <c r="J80" s="175">
        <v>1861</v>
      </c>
      <c r="K80" s="175">
        <v>0</v>
      </c>
      <c r="L80" s="175">
        <v>0</v>
      </c>
      <c r="M80" s="175">
        <v>0</v>
      </c>
      <c r="N80" s="176">
        <v>0</v>
      </c>
      <c r="O80" s="176">
        <v>0</v>
      </c>
      <c r="P80" s="175">
        <v>0</v>
      </c>
      <c r="Q80" s="175">
        <v>0</v>
      </c>
      <c r="R80" s="175">
        <v>0</v>
      </c>
      <c r="S80" s="175">
        <v>0</v>
      </c>
      <c r="T80" s="175">
        <f>H80+J80+L80+N80+P80+R80</f>
        <v>2326</v>
      </c>
      <c r="U80" s="175">
        <f>I80+K80+M80+O80+Q80+S80</f>
        <v>0</v>
      </c>
      <c r="V80" s="49"/>
    </row>
    <row r="81" spans="1:28" s="12" customFormat="1" ht="84.75" customHeight="1" x14ac:dyDescent="0.25">
      <c r="A81" s="154" t="s">
        <v>406</v>
      </c>
      <c r="B81" s="42" t="s">
        <v>288</v>
      </c>
      <c r="C81" s="10" t="s">
        <v>551</v>
      </c>
      <c r="D81" s="188">
        <v>2019</v>
      </c>
      <c r="E81" s="10" t="s">
        <v>397</v>
      </c>
      <c r="F81" s="10" t="s">
        <v>231</v>
      </c>
      <c r="G81" s="168" t="s">
        <v>93</v>
      </c>
      <c r="H81" s="175">
        <v>48</v>
      </c>
      <c r="I81" s="175">
        <v>0</v>
      </c>
      <c r="J81" s="175">
        <v>582</v>
      </c>
      <c r="K81" s="175">
        <v>0</v>
      </c>
      <c r="L81" s="175">
        <v>0</v>
      </c>
      <c r="M81" s="175">
        <v>0</v>
      </c>
      <c r="N81" s="176">
        <v>0</v>
      </c>
      <c r="O81" s="176">
        <v>0</v>
      </c>
      <c r="P81" s="175">
        <v>0</v>
      </c>
      <c r="Q81" s="175">
        <v>0</v>
      </c>
      <c r="R81" s="175">
        <v>0</v>
      </c>
      <c r="S81" s="175">
        <v>0</v>
      </c>
      <c r="T81" s="175">
        <f>H81+J81+L81+N81+P81+R81</f>
        <v>630</v>
      </c>
      <c r="U81" s="175">
        <f>I81+K81</f>
        <v>0</v>
      </c>
      <c r="V81" s="49"/>
    </row>
    <row r="82" spans="1:28" s="12" customFormat="1" ht="89.25" customHeight="1" x14ac:dyDescent="0.25">
      <c r="A82" s="214" t="s">
        <v>509</v>
      </c>
      <c r="B82" s="218" t="s">
        <v>289</v>
      </c>
      <c r="C82" s="218" t="s">
        <v>552</v>
      </c>
      <c r="D82" s="203">
        <v>2021</v>
      </c>
      <c r="E82" s="196" t="s">
        <v>567</v>
      </c>
      <c r="F82" s="196" t="s">
        <v>231</v>
      </c>
      <c r="G82" s="168" t="s">
        <v>93</v>
      </c>
      <c r="H82" s="175">
        <v>0</v>
      </c>
      <c r="I82" s="175">
        <v>0</v>
      </c>
      <c r="J82" s="175">
        <v>0</v>
      </c>
      <c r="K82" s="175">
        <v>0</v>
      </c>
      <c r="L82" s="204">
        <v>824.4316</v>
      </c>
      <c r="M82" s="175">
        <v>0</v>
      </c>
      <c r="N82" s="209">
        <v>1978.6358600000001</v>
      </c>
      <c r="O82" s="176">
        <v>0</v>
      </c>
      <c r="P82" s="175">
        <v>0</v>
      </c>
      <c r="Q82" s="175">
        <v>0</v>
      </c>
      <c r="R82" s="175">
        <v>0</v>
      </c>
      <c r="S82" s="175">
        <v>0</v>
      </c>
      <c r="T82" s="175">
        <f>H82+J82+L82+N82+P82+R82</f>
        <v>2803.0674600000002</v>
      </c>
      <c r="U82" s="175">
        <f>I82+K82</f>
        <v>0</v>
      </c>
      <c r="V82" s="49"/>
    </row>
    <row r="83" spans="1:28" s="12" customFormat="1" ht="89.25" customHeight="1" x14ac:dyDescent="0.25">
      <c r="A83" s="215"/>
      <c r="B83" s="220"/>
      <c r="C83" s="220"/>
      <c r="D83" s="203">
        <v>2022</v>
      </c>
      <c r="E83" s="196" t="s">
        <v>592</v>
      </c>
      <c r="F83" s="196" t="s">
        <v>231</v>
      </c>
      <c r="G83" s="168" t="s">
        <v>93</v>
      </c>
      <c r="H83" s="175">
        <v>0</v>
      </c>
      <c r="I83" s="175">
        <v>0</v>
      </c>
      <c r="J83" s="175">
        <v>0</v>
      </c>
      <c r="K83" s="175">
        <v>0</v>
      </c>
      <c r="L83" s="175">
        <v>0</v>
      </c>
      <c r="M83" s="175">
        <v>0</v>
      </c>
      <c r="N83" s="209">
        <v>0</v>
      </c>
      <c r="O83" s="209">
        <v>0</v>
      </c>
      <c r="P83" s="204">
        <v>3396.0073000000002</v>
      </c>
      <c r="Q83" s="204">
        <v>0</v>
      </c>
      <c r="R83" s="175">
        <v>5094.01</v>
      </c>
      <c r="S83" s="175">
        <v>0</v>
      </c>
      <c r="T83" s="175">
        <f>H83+J83+L83+N83+P83+R83</f>
        <v>8490.0172999999995</v>
      </c>
      <c r="U83" s="175">
        <f>I83+K83</f>
        <v>0</v>
      </c>
      <c r="V83" s="49"/>
    </row>
    <row r="84" spans="1:28" s="12" customFormat="1" ht="84.75" customHeight="1" x14ac:dyDescent="0.25">
      <c r="A84" s="187" t="s">
        <v>33</v>
      </c>
      <c r="B84" s="188" t="s">
        <v>334</v>
      </c>
      <c r="C84" s="10" t="s">
        <v>553</v>
      </c>
      <c r="D84" s="188" t="s">
        <v>450</v>
      </c>
      <c r="E84" s="10" t="s">
        <v>243</v>
      </c>
      <c r="F84" s="188" t="s">
        <v>335</v>
      </c>
      <c r="G84" s="168" t="s">
        <v>92</v>
      </c>
      <c r="H84" s="226" t="s">
        <v>91</v>
      </c>
      <c r="I84" s="227"/>
      <c r="J84" s="226" t="s">
        <v>91</v>
      </c>
      <c r="K84" s="227"/>
      <c r="L84" s="226" t="s">
        <v>91</v>
      </c>
      <c r="M84" s="227"/>
      <c r="N84" s="232" t="s">
        <v>91</v>
      </c>
      <c r="O84" s="233"/>
      <c r="P84" s="226" t="s">
        <v>91</v>
      </c>
      <c r="Q84" s="227"/>
      <c r="R84" s="226" t="s">
        <v>91</v>
      </c>
      <c r="S84" s="227"/>
      <c r="T84" s="226" t="s">
        <v>91</v>
      </c>
      <c r="U84" s="227"/>
      <c r="V84" s="49"/>
    </row>
    <row r="85" spans="1:28" s="12" customFormat="1" ht="165.75" customHeight="1" x14ac:dyDescent="0.25">
      <c r="A85" s="13" t="s">
        <v>377</v>
      </c>
      <c r="B85" s="42" t="s">
        <v>469</v>
      </c>
      <c r="C85" s="196" t="s">
        <v>554</v>
      </c>
      <c r="D85" s="196" t="s">
        <v>507</v>
      </c>
      <c r="E85" s="196" t="s">
        <v>573</v>
      </c>
      <c r="F85" s="196" t="s">
        <v>108</v>
      </c>
      <c r="G85" s="168" t="s">
        <v>93</v>
      </c>
      <c r="H85" s="175">
        <f>79.8</f>
        <v>79.8</v>
      </c>
      <c r="I85" s="175">
        <f>H85</f>
        <v>79.8</v>
      </c>
      <c r="J85" s="175">
        <f>K85</f>
        <v>117.06396000000001</v>
      </c>
      <c r="K85" s="175">
        <f>24.05808*4+10.41582*2</f>
        <v>117.06396000000001</v>
      </c>
      <c r="L85" s="175">
        <v>372.02352000000002</v>
      </c>
      <c r="M85" s="175">
        <f>L85</f>
        <v>372.02352000000002</v>
      </c>
      <c r="N85" s="176">
        <v>0</v>
      </c>
      <c r="O85" s="176">
        <v>0</v>
      </c>
      <c r="P85" s="175">
        <v>0</v>
      </c>
      <c r="Q85" s="175">
        <v>0</v>
      </c>
      <c r="R85" s="175">
        <v>0</v>
      </c>
      <c r="S85" s="175">
        <v>0</v>
      </c>
      <c r="T85" s="175">
        <f t="shared" ref="T85:U85" si="29">H85+J85+L85+N85+P85+R85</f>
        <v>568.8874800000001</v>
      </c>
      <c r="U85" s="175">
        <f t="shared" si="29"/>
        <v>568.8874800000001</v>
      </c>
      <c r="V85" s="49"/>
    </row>
    <row r="86" spans="1:28" s="12" customFormat="1" ht="251.25" customHeight="1" x14ac:dyDescent="0.25">
      <c r="A86" s="166" t="s">
        <v>488</v>
      </c>
      <c r="B86" s="42" t="s">
        <v>494</v>
      </c>
      <c r="C86" s="10" t="s">
        <v>555</v>
      </c>
      <c r="D86" s="10">
        <v>2020</v>
      </c>
      <c r="E86" s="10" t="s">
        <v>495</v>
      </c>
      <c r="F86" s="10" t="s">
        <v>108</v>
      </c>
      <c r="G86" s="168" t="s">
        <v>93</v>
      </c>
      <c r="H86" s="175">
        <v>0</v>
      </c>
      <c r="I86" s="175">
        <v>0</v>
      </c>
      <c r="J86" s="175">
        <v>282</v>
      </c>
      <c r="K86" s="175">
        <v>0</v>
      </c>
      <c r="L86" s="175">
        <v>1341</v>
      </c>
      <c r="M86" s="175">
        <v>0</v>
      </c>
      <c r="N86" s="176">
        <v>0</v>
      </c>
      <c r="O86" s="176">
        <v>0</v>
      </c>
      <c r="P86" s="175">
        <v>0</v>
      </c>
      <c r="Q86" s="175">
        <v>0</v>
      </c>
      <c r="R86" s="175">
        <v>0</v>
      </c>
      <c r="S86" s="175">
        <v>0</v>
      </c>
      <c r="T86" s="175">
        <f t="shared" ref="T86" si="30">H86+J86+L86+N86+P86+R86</f>
        <v>1623</v>
      </c>
      <c r="U86" s="175">
        <f t="shared" ref="U86" si="31">I86+K86+M86+O86+Q86+S86</f>
        <v>0</v>
      </c>
      <c r="V86" s="49"/>
    </row>
    <row r="87" spans="1:28" s="12" customFormat="1" ht="125.25" customHeight="1" x14ac:dyDescent="0.25">
      <c r="A87" s="13" t="s">
        <v>34</v>
      </c>
      <c r="B87" s="10" t="s">
        <v>165</v>
      </c>
      <c r="C87" s="20" t="s">
        <v>163</v>
      </c>
      <c r="D87" s="20" t="s">
        <v>163</v>
      </c>
      <c r="E87" s="20" t="s">
        <v>163</v>
      </c>
      <c r="F87" s="20" t="s">
        <v>163</v>
      </c>
      <c r="G87" s="168" t="s">
        <v>163</v>
      </c>
      <c r="H87" s="175">
        <f>H88</f>
        <v>0</v>
      </c>
      <c r="I87" s="175">
        <f t="shared" ref="I87:U87" si="32">I88</f>
        <v>0</v>
      </c>
      <c r="J87" s="175">
        <f t="shared" si="32"/>
        <v>0</v>
      </c>
      <c r="K87" s="175">
        <f t="shared" si="32"/>
        <v>0</v>
      </c>
      <c r="L87" s="175">
        <f t="shared" si="32"/>
        <v>55.532780000000002</v>
      </c>
      <c r="M87" s="175">
        <f t="shared" si="32"/>
        <v>0</v>
      </c>
      <c r="N87" s="176">
        <f t="shared" si="32"/>
        <v>666.39336000000003</v>
      </c>
      <c r="O87" s="176">
        <f t="shared" si="32"/>
        <v>0</v>
      </c>
      <c r="P87" s="175">
        <f t="shared" si="32"/>
        <v>0</v>
      </c>
      <c r="Q87" s="175">
        <f t="shared" si="32"/>
        <v>0</v>
      </c>
      <c r="R87" s="175">
        <f t="shared" si="32"/>
        <v>0</v>
      </c>
      <c r="S87" s="175">
        <f t="shared" si="32"/>
        <v>0</v>
      </c>
      <c r="T87" s="175">
        <f t="shared" si="32"/>
        <v>721.92614000000003</v>
      </c>
      <c r="U87" s="175">
        <f t="shared" si="32"/>
        <v>0</v>
      </c>
      <c r="V87" s="54" t="e">
        <f>#REF!+#REF!+#REF!+#REF!+#REF!+#REF!+#REF!+#REF!</f>
        <v>#REF!</v>
      </c>
      <c r="W87" s="54" t="e">
        <f>#REF!+#REF!+#REF!+#REF!+#REF!+#REF!+#REF!+#REF!</f>
        <v>#REF!</v>
      </c>
      <c r="X87" s="54" t="e">
        <f>#REF!+#REF!+#REF!+#REF!+#REF!+#REF!+#REF!+#REF!</f>
        <v>#REF!</v>
      </c>
      <c r="Y87" s="54" t="e">
        <f>#REF!+#REF!+#REF!+#REF!+#REF!+#REF!+#REF!+#REF!</f>
        <v>#REF!</v>
      </c>
      <c r="Z87" s="54" t="e">
        <f>#REF!+#REF!+#REF!+#REF!+#REF!+#REF!+#REF!+#REF!</f>
        <v>#REF!</v>
      </c>
      <c r="AA87" s="54" t="e">
        <f>#REF!+#REF!+#REF!+#REF!+#REF!+#REF!+#REF!+#REF!</f>
        <v>#REF!</v>
      </c>
      <c r="AB87" s="54" t="e">
        <f>#REF!+#REF!+#REF!+#REF!+#REF!+#REF!+#REF!+#REF!</f>
        <v>#REF!</v>
      </c>
    </row>
    <row r="88" spans="1:28" s="12" customFormat="1" ht="177.75" customHeight="1" x14ac:dyDescent="0.25">
      <c r="A88" s="166" t="s">
        <v>140</v>
      </c>
      <c r="B88" s="42" t="s">
        <v>580</v>
      </c>
      <c r="C88" s="196" t="s">
        <v>557</v>
      </c>
      <c r="D88" s="196">
        <v>2021</v>
      </c>
      <c r="E88" s="196" t="s">
        <v>593</v>
      </c>
      <c r="F88" s="196" t="s">
        <v>108</v>
      </c>
      <c r="G88" s="168" t="s">
        <v>93</v>
      </c>
      <c r="H88" s="175">
        <v>0</v>
      </c>
      <c r="I88" s="175">
        <v>0</v>
      </c>
      <c r="J88" s="175">
        <v>0</v>
      </c>
      <c r="K88" s="175">
        <v>0</v>
      </c>
      <c r="L88" s="204">
        <v>55.532780000000002</v>
      </c>
      <c r="M88" s="204">
        <v>0</v>
      </c>
      <c r="N88" s="209">
        <v>666.39336000000003</v>
      </c>
      <c r="O88" s="209">
        <v>0</v>
      </c>
      <c r="P88" s="175">
        <v>0</v>
      </c>
      <c r="Q88" s="175">
        <v>0</v>
      </c>
      <c r="R88" s="175">
        <v>0</v>
      </c>
      <c r="S88" s="175">
        <v>0</v>
      </c>
      <c r="T88" s="175">
        <f t="shared" ref="T88" si="33">H88+J88+L88+N88+P88+R88</f>
        <v>721.92614000000003</v>
      </c>
      <c r="U88" s="175">
        <f>I88+K88+M88+O88+Q88+S88</f>
        <v>0</v>
      </c>
      <c r="V88" s="49"/>
    </row>
    <row r="89" spans="1:28" s="12" customFormat="1" ht="241.5" customHeight="1" x14ac:dyDescent="0.25">
      <c r="A89" s="13" t="s">
        <v>35</v>
      </c>
      <c r="B89" s="10" t="s">
        <v>510</v>
      </c>
      <c r="C89" s="10" t="s">
        <v>558</v>
      </c>
      <c r="D89" s="10" t="s">
        <v>386</v>
      </c>
      <c r="E89" s="10" t="s">
        <v>254</v>
      </c>
      <c r="F89" s="10" t="s">
        <v>94</v>
      </c>
      <c r="G89" s="168" t="s">
        <v>92</v>
      </c>
      <c r="H89" s="226" t="s">
        <v>91</v>
      </c>
      <c r="I89" s="227"/>
      <c r="J89" s="226" t="s">
        <v>91</v>
      </c>
      <c r="K89" s="227"/>
      <c r="L89" s="226" t="s">
        <v>91</v>
      </c>
      <c r="M89" s="227"/>
      <c r="N89" s="232" t="s">
        <v>91</v>
      </c>
      <c r="O89" s="233"/>
      <c r="P89" s="226" t="s">
        <v>91</v>
      </c>
      <c r="Q89" s="227"/>
      <c r="R89" s="226" t="s">
        <v>91</v>
      </c>
      <c r="S89" s="227"/>
      <c r="T89" s="226" t="s">
        <v>91</v>
      </c>
      <c r="U89" s="227" t="s">
        <v>91</v>
      </c>
      <c r="V89" s="49"/>
    </row>
    <row r="90" spans="1:28" s="12" customFormat="1" ht="87" customHeight="1" x14ac:dyDescent="0.25">
      <c r="A90" s="13" t="s">
        <v>36</v>
      </c>
      <c r="B90" s="10" t="s">
        <v>255</v>
      </c>
      <c r="C90" s="10" t="s">
        <v>407</v>
      </c>
      <c r="D90" s="10" t="s">
        <v>386</v>
      </c>
      <c r="E90" s="10" t="s">
        <v>258</v>
      </c>
      <c r="F90" s="10" t="s">
        <v>257</v>
      </c>
      <c r="G90" s="168" t="s">
        <v>92</v>
      </c>
      <c r="H90" s="226" t="s">
        <v>91</v>
      </c>
      <c r="I90" s="227"/>
      <c r="J90" s="226" t="s">
        <v>91</v>
      </c>
      <c r="K90" s="227"/>
      <c r="L90" s="226" t="s">
        <v>91</v>
      </c>
      <c r="M90" s="227"/>
      <c r="N90" s="232" t="s">
        <v>91</v>
      </c>
      <c r="O90" s="233"/>
      <c r="P90" s="226" t="s">
        <v>91</v>
      </c>
      <c r="Q90" s="227"/>
      <c r="R90" s="226" t="s">
        <v>91</v>
      </c>
      <c r="S90" s="227"/>
      <c r="T90" s="226" t="s">
        <v>91</v>
      </c>
      <c r="U90" s="227" t="s">
        <v>91</v>
      </c>
      <c r="V90" s="49"/>
    </row>
    <row r="91" spans="1:28" s="12" customFormat="1" ht="111" customHeight="1" x14ac:dyDescent="0.25">
      <c r="A91" s="149" t="s">
        <v>37</v>
      </c>
      <c r="B91" s="10" t="s">
        <v>513</v>
      </c>
      <c r="C91" s="10" t="s">
        <v>88</v>
      </c>
      <c r="D91" s="10" t="s">
        <v>386</v>
      </c>
      <c r="E91" s="10" t="s">
        <v>238</v>
      </c>
      <c r="F91" s="10" t="s">
        <v>259</v>
      </c>
      <c r="G91" s="168" t="s">
        <v>92</v>
      </c>
      <c r="H91" s="226" t="s">
        <v>91</v>
      </c>
      <c r="I91" s="227"/>
      <c r="J91" s="226" t="s">
        <v>91</v>
      </c>
      <c r="K91" s="227"/>
      <c r="L91" s="226" t="s">
        <v>91</v>
      </c>
      <c r="M91" s="227"/>
      <c r="N91" s="232" t="s">
        <v>91</v>
      </c>
      <c r="O91" s="233"/>
      <c r="P91" s="226" t="s">
        <v>91</v>
      </c>
      <c r="Q91" s="227"/>
      <c r="R91" s="226" t="s">
        <v>91</v>
      </c>
      <c r="S91" s="227"/>
      <c r="T91" s="226" t="s">
        <v>91</v>
      </c>
      <c r="U91" s="227"/>
      <c r="V91" s="49"/>
    </row>
    <row r="92" spans="1:28" s="12" customFormat="1" ht="69" customHeight="1" x14ac:dyDescent="0.25">
      <c r="A92" s="13" t="s">
        <v>38</v>
      </c>
      <c r="B92" s="10" t="s">
        <v>155</v>
      </c>
      <c r="C92" s="20" t="s">
        <v>163</v>
      </c>
      <c r="D92" s="20" t="s">
        <v>163</v>
      </c>
      <c r="E92" s="20" t="s">
        <v>163</v>
      </c>
      <c r="F92" s="20" t="s">
        <v>163</v>
      </c>
      <c r="G92" s="168" t="s">
        <v>163</v>
      </c>
      <c r="H92" s="175" t="s">
        <v>163</v>
      </c>
      <c r="I92" s="175" t="s">
        <v>163</v>
      </c>
      <c r="J92" s="175" t="s">
        <v>163</v>
      </c>
      <c r="K92" s="175" t="s">
        <v>163</v>
      </c>
      <c r="L92" s="175" t="s">
        <v>163</v>
      </c>
      <c r="M92" s="175" t="s">
        <v>163</v>
      </c>
      <c r="N92" s="176" t="s">
        <v>163</v>
      </c>
      <c r="O92" s="176" t="s">
        <v>163</v>
      </c>
      <c r="P92" s="175" t="s">
        <v>163</v>
      </c>
      <c r="Q92" s="175" t="s">
        <v>163</v>
      </c>
      <c r="R92" s="175" t="s">
        <v>163</v>
      </c>
      <c r="S92" s="175" t="s">
        <v>163</v>
      </c>
      <c r="T92" s="175" t="s">
        <v>163</v>
      </c>
      <c r="U92" s="175" t="s">
        <v>163</v>
      </c>
      <c r="V92" s="49"/>
    </row>
    <row r="93" spans="1:28" s="12" customFormat="1" ht="226.5" customHeight="1" x14ac:dyDescent="0.25">
      <c r="A93" s="166" t="s">
        <v>483</v>
      </c>
      <c r="B93" s="42" t="s">
        <v>220</v>
      </c>
      <c r="C93" s="10" t="s">
        <v>511</v>
      </c>
      <c r="D93" s="10" t="s">
        <v>386</v>
      </c>
      <c r="E93" s="10" t="s">
        <v>533</v>
      </c>
      <c r="F93" s="10" t="s">
        <v>171</v>
      </c>
      <c r="G93" s="168" t="s">
        <v>92</v>
      </c>
      <c r="H93" s="226" t="s">
        <v>91</v>
      </c>
      <c r="I93" s="227"/>
      <c r="J93" s="226" t="s">
        <v>91</v>
      </c>
      <c r="K93" s="227"/>
      <c r="L93" s="226" t="s">
        <v>91</v>
      </c>
      <c r="M93" s="227"/>
      <c r="N93" s="232" t="s">
        <v>91</v>
      </c>
      <c r="O93" s="233"/>
      <c r="P93" s="226" t="s">
        <v>91</v>
      </c>
      <c r="Q93" s="227"/>
      <c r="R93" s="226" t="s">
        <v>91</v>
      </c>
      <c r="S93" s="227"/>
      <c r="T93" s="226" t="s">
        <v>91</v>
      </c>
      <c r="U93" s="227"/>
      <c r="V93" s="49"/>
    </row>
    <row r="94" spans="1:28" s="12" customFormat="1" ht="207" customHeight="1" x14ac:dyDescent="0.25">
      <c r="A94" s="166" t="s">
        <v>485</v>
      </c>
      <c r="B94" s="42" t="s">
        <v>221</v>
      </c>
      <c r="C94" s="10" t="s">
        <v>408</v>
      </c>
      <c r="D94" s="10" t="s">
        <v>386</v>
      </c>
      <c r="E94" s="10" t="s">
        <v>527</v>
      </c>
      <c r="F94" s="10" t="s">
        <v>172</v>
      </c>
      <c r="G94" s="168" t="s">
        <v>92</v>
      </c>
      <c r="H94" s="226" t="s">
        <v>91</v>
      </c>
      <c r="I94" s="227"/>
      <c r="J94" s="226" t="s">
        <v>91</v>
      </c>
      <c r="K94" s="227"/>
      <c r="L94" s="226" t="s">
        <v>91</v>
      </c>
      <c r="M94" s="227"/>
      <c r="N94" s="232" t="s">
        <v>91</v>
      </c>
      <c r="O94" s="233"/>
      <c r="P94" s="226" t="s">
        <v>91</v>
      </c>
      <c r="Q94" s="227"/>
      <c r="R94" s="226" t="s">
        <v>91</v>
      </c>
      <c r="S94" s="227"/>
      <c r="T94" s="226" t="s">
        <v>91</v>
      </c>
      <c r="U94" s="227"/>
      <c r="V94" s="49"/>
    </row>
    <row r="95" spans="1:28" s="12" customFormat="1" ht="243.75" customHeight="1" x14ac:dyDescent="0.25">
      <c r="A95" s="13" t="s">
        <v>484</v>
      </c>
      <c r="B95" s="42" t="s">
        <v>222</v>
      </c>
      <c r="C95" s="10" t="s">
        <v>409</v>
      </c>
      <c r="D95" s="10" t="s">
        <v>386</v>
      </c>
      <c r="E95" s="10" t="s">
        <v>521</v>
      </c>
      <c r="F95" s="10" t="s">
        <v>372</v>
      </c>
      <c r="G95" s="168" t="s">
        <v>92</v>
      </c>
      <c r="H95" s="226" t="s">
        <v>91</v>
      </c>
      <c r="I95" s="227"/>
      <c r="J95" s="226" t="s">
        <v>91</v>
      </c>
      <c r="K95" s="227"/>
      <c r="L95" s="226" t="s">
        <v>91</v>
      </c>
      <c r="M95" s="227"/>
      <c r="N95" s="232" t="s">
        <v>91</v>
      </c>
      <c r="O95" s="233"/>
      <c r="P95" s="226" t="s">
        <v>91</v>
      </c>
      <c r="Q95" s="227"/>
      <c r="R95" s="226" t="s">
        <v>91</v>
      </c>
      <c r="S95" s="227"/>
      <c r="T95" s="226" t="s">
        <v>91</v>
      </c>
      <c r="U95" s="227"/>
      <c r="V95" s="49"/>
    </row>
    <row r="96" spans="1:28" s="12" customFormat="1" ht="273.75" customHeight="1" x14ac:dyDescent="0.25">
      <c r="A96" s="13" t="s">
        <v>225</v>
      </c>
      <c r="B96" s="10" t="s">
        <v>156</v>
      </c>
      <c r="C96" s="10" t="s">
        <v>470</v>
      </c>
      <c r="D96" s="10" t="s">
        <v>471</v>
      </c>
      <c r="E96" s="167" t="s">
        <v>526</v>
      </c>
      <c r="F96" s="10" t="s">
        <v>176</v>
      </c>
      <c r="G96" s="168" t="s">
        <v>92</v>
      </c>
      <c r="H96" s="226" t="s">
        <v>428</v>
      </c>
      <c r="I96" s="227"/>
      <c r="J96" s="226" t="s">
        <v>91</v>
      </c>
      <c r="K96" s="227"/>
      <c r="L96" s="226" t="s">
        <v>91</v>
      </c>
      <c r="M96" s="227"/>
      <c r="N96" s="232" t="s">
        <v>91</v>
      </c>
      <c r="O96" s="233"/>
      <c r="P96" s="226" t="s">
        <v>91</v>
      </c>
      <c r="Q96" s="227"/>
      <c r="R96" s="226" t="s">
        <v>91</v>
      </c>
      <c r="S96" s="227"/>
      <c r="T96" s="226" t="s">
        <v>91</v>
      </c>
      <c r="U96" s="227"/>
      <c r="V96" s="49"/>
    </row>
    <row r="97" spans="1:28" s="12" customFormat="1" ht="20.25" x14ac:dyDescent="0.25">
      <c r="A97" s="189" t="s">
        <v>42</v>
      </c>
      <c r="B97" s="281" t="s">
        <v>20</v>
      </c>
      <c r="C97" s="282"/>
      <c r="D97" s="283"/>
      <c r="E97" s="190"/>
      <c r="F97" s="190"/>
      <c r="G97" s="191"/>
      <c r="H97" s="192">
        <f>H98+H107+H108</f>
        <v>8100</v>
      </c>
      <c r="I97" s="192">
        <f t="shared" ref="I97:AB97" si="34">I98+I107+I108</f>
        <v>2872</v>
      </c>
      <c r="J97" s="192">
        <f>J98+J107+J108</f>
        <v>12604</v>
      </c>
      <c r="K97" s="192">
        <f t="shared" si="34"/>
        <v>9000</v>
      </c>
      <c r="L97" s="192">
        <f>L98+L107+L108</f>
        <v>12300</v>
      </c>
      <c r="M97" s="192">
        <f t="shared" si="34"/>
        <v>9752.51</v>
      </c>
      <c r="N97" s="206">
        <f t="shared" si="34"/>
        <v>22545.4</v>
      </c>
      <c r="O97" s="206">
        <f t="shared" si="34"/>
        <v>19370.809999999998</v>
      </c>
      <c r="P97" s="192">
        <f t="shared" si="34"/>
        <v>7232.9</v>
      </c>
      <c r="Q97" s="192">
        <f t="shared" si="34"/>
        <v>1243</v>
      </c>
      <c r="R97" s="192">
        <f t="shared" si="34"/>
        <v>4143</v>
      </c>
      <c r="S97" s="192">
        <f t="shared" si="34"/>
        <v>1243</v>
      </c>
      <c r="T97" s="192">
        <f t="shared" si="34"/>
        <v>66925.3</v>
      </c>
      <c r="U97" s="192">
        <f t="shared" si="34"/>
        <v>43481.32</v>
      </c>
      <c r="V97" s="192">
        <f t="shared" si="34"/>
        <v>0</v>
      </c>
      <c r="W97" s="192">
        <f t="shared" si="34"/>
        <v>0</v>
      </c>
      <c r="X97" s="192">
        <f t="shared" si="34"/>
        <v>0</v>
      </c>
      <c r="Y97" s="192">
        <f t="shared" si="34"/>
        <v>0</v>
      </c>
      <c r="Z97" s="192">
        <f t="shared" si="34"/>
        <v>0</v>
      </c>
      <c r="AA97" s="192">
        <f t="shared" si="34"/>
        <v>0</v>
      </c>
      <c r="AB97" s="192">
        <f t="shared" si="34"/>
        <v>0</v>
      </c>
    </row>
    <row r="98" spans="1:28" s="12" customFormat="1" ht="218.25" customHeight="1" x14ac:dyDescent="0.25">
      <c r="A98" s="13" t="s">
        <v>44</v>
      </c>
      <c r="B98" s="10" t="s">
        <v>263</v>
      </c>
      <c r="C98" s="10" t="s">
        <v>480</v>
      </c>
      <c r="D98" s="10" t="s">
        <v>386</v>
      </c>
      <c r="E98" s="10" t="s">
        <v>262</v>
      </c>
      <c r="F98" s="10" t="s">
        <v>108</v>
      </c>
      <c r="G98" s="168" t="s">
        <v>93</v>
      </c>
      <c r="H98" s="175">
        <v>8100</v>
      </c>
      <c r="I98" s="175">
        <f>2772+100</f>
        <v>2872</v>
      </c>
      <c r="J98" s="175">
        <v>12000</v>
      </c>
      <c r="K98" s="175">
        <v>9000</v>
      </c>
      <c r="L98" s="175">
        <v>12300</v>
      </c>
      <c r="M98" s="175">
        <v>9752.51</v>
      </c>
      <c r="N98" s="176">
        <v>21145</v>
      </c>
      <c r="O98" s="176">
        <f>9272.1+10098.71</f>
        <v>19370.809999999998</v>
      </c>
      <c r="P98" s="175">
        <v>4143</v>
      </c>
      <c r="Q98" s="175">
        <v>1243</v>
      </c>
      <c r="R98" s="175">
        <v>4143</v>
      </c>
      <c r="S98" s="175">
        <v>1243</v>
      </c>
      <c r="T98" s="175">
        <f>H98+J98+L98+N98+P98+R98</f>
        <v>61831</v>
      </c>
      <c r="U98" s="175">
        <f>I98+K98+M98+O98+Q98+S98</f>
        <v>43481.32</v>
      </c>
      <c r="V98" s="49"/>
    </row>
    <row r="99" spans="1:28" s="12" customFormat="1" ht="159" customHeight="1" x14ac:dyDescent="0.25">
      <c r="A99" s="13" t="s">
        <v>45</v>
      </c>
      <c r="B99" s="10" t="s">
        <v>264</v>
      </c>
      <c r="C99" s="10" t="s">
        <v>410</v>
      </c>
      <c r="D99" s="10" t="s">
        <v>496</v>
      </c>
      <c r="E99" s="10" t="s">
        <v>119</v>
      </c>
      <c r="F99" s="10" t="s">
        <v>180</v>
      </c>
      <c r="G99" s="168" t="s">
        <v>120</v>
      </c>
      <c r="H99" s="226" t="s">
        <v>522</v>
      </c>
      <c r="I99" s="227"/>
      <c r="J99" s="226" t="s">
        <v>525</v>
      </c>
      <c r="K99" s="227"/>
      <c r="L99" s="226" t="s">
        <v>523</v>
      </c>
      <c r="M99" s="227"/>
      <c r="N99" s="232" t="s">
        <v>524</v>
      </c>
      <c r="O99" s="233"/>
      <c r="P99" s="226" t="s">
        <v>524</v>
      </c>
      <c r="Q99" s="227"/>
      <c r="R99" s="226" t="s">
        <v>524</v>
      </c>
      <c r="S99" s="227"/>
      <c r="T99" s="226"/>
      <c r="U99" s="227"/>
      <c r="V99" s="56"/>
    </row>
    <row r="100" spans="1:28" s="12" customFormat="1" ht="58.5" customHeight="1" x14ac:dyDescent="0.25">
      <c r="A100" s="13" t="s">
        <v>46</v>
      </c>
      <c r="B100" s="10" t="s">
        <v>115</v>
      </c>
      <c r="C100" s="10" t="s">
        <v>83</v>
      </c>
      <c r="D100" s="10" t="s">
        <v>448</v>
      </c>
      <c r="E100" s="10" t="s">
        <v>337</v>
      </c>
      <c r="F100" s="10" t="s">
        <v>338</v>
      </c>
      <c r="G100" s="168" t="s">
        <v>92</v>
      </c>
      <c r="H100" s="226" t="s">
        <v>91</v>
      </c>
      <c r="I100" s="227"/>
      <c r="J100" s="226" t="s">
        <v>91</v>
      </c>
      <c r="K100" s="227"/>
      <c r="L100" s="226" t="s">
        <v>91</v>
      </c>
      <c r="M100" s="227"/>
      <c r="N100" s="232" t="s">
        <v>91</v>
      </c>
      <c r="O100" s="233"/>
      <c r="P100" s="226" t="s">
        <v>91</v>
      </c>
      <c r="Q100" s="227"/>
      <c r="R100" s="226" t="s">
        <v>91</v>
      </c>
      <c r="S100" s="227"/>
      <c r="T100" s="226" t="s">
        <v>91</v>
      </c>
      <c r="U100" s="227"/>
      <c r="V100" s="49"/>
    </row>
    <row r="101" spans="1:28" s="12" customFormat="1" ht="83.25" customHeight="1" x14ac:dyDescent="0.25">
      <c r="A101" s="13" t="s">
        <v>47</v>
      </c>
      <c r="B101" s="10" t="s">
        <v>24</v>
      </c>
      <c r="C101" s="10" t="s">
        <v>116</v>
      </c>
      <c r="D101" s="10" t="s">
        <v>386</v>
      </c>
      <c r="E101" s="10" t="s">
        <v>157</v>
      </c>
      <c r="F101" s="10" t="s">
        <v>265</v>
      </c>
      <c r="G101" s="168" t="s">
        <v>92</v>
      </c>
      <c r="H101" s="226" t="s">
        <v>91</v>
      </c>
      <c r="I101" s="227"/>
      <c r="J101" s="226" t="s">
        <v>91</v>
      </c>
      <c r="K101" s="227"/>
      <c r="L101" s="226" t="s">
        <v>91</v>
      </c>
      <c r="M101" s="227"/>
      <c r="N101" s="232" t="s">
        <v>91</v>
      </c>
      <c r="O101" s="233"/>
      <c r="P101" s="226" t="s">
        <v>91</v>
      </c>
      <c r="Q101" s="227"/>
      <c r="R101" s="226" t="s">
        <v>91</v>
      </c>
      <c r="S101" s="227"/>
      <c r="T101" s="226" t="s">
        <v>91</v>
      </c>
      <c r="U101" s="227"/>
      <c r="V101" s="49"/>
    </row>
    <row r="102" spans="1:28" s="12" customFormat="1" ht="349.5" customHeight="1" x14ac:dyDescent="0.25">
      <c r="A102" s="13" t="s">
        <v>48</v>
      </c>
      <c r="B102" s="10" t="s">
        <v>332</v>
      </c>
      <c r="C102" s="10" t="s">
        <v>411</v>
      </c>
      <c r="D102" s="10" t="s">
        <v>386</v>
      </c>
      <c r="E102" s="10" t="s">
        <v>519</v>
      </c>
      <c r="F102" s="10" t="s">
        <v>333</v>
      </c>
      <c r="G102" s="168" t="s">
        <v>92</v>
      </c>
      <c r="H102" s="226" t="s">
        <v>91</v>
      </c>
      <c r="I102" s="227"/>
      <c r="J102" s="226" t="s">
        <v>91</v>
      </c>
      <c r="K102" s="227"/>
      <c r="L102" s="226" t="s">
        <v>91</v>
      </c>
      <c r="M102" s="227"/>
      <c r="N102" s="232" t="s">
        <v>91</v>
      </c>
      <c r="O102" s="233"/>
      <c r="P102" s="226" t="s">
        <v>91</v>
      </c>
      <c r="Q102" s="227"/>
      <c r="R102" s="226" t="s">
        <v>91</v>
      </c>
      <c r="S102" s="227"/>
      <c r="T102" s="226" t="s">
        <v>91</v>
      </c>
      <c r="U102" s="227"/>
      <c r="V102" s="49"/>
    </row>
    <row r="103" spans="1:28" s="12" customFormat="1" ht="82.5" customHeight="1" x14ac:dyDescent="0.25">
      <c r="A103" s="13" t="s">
        <v>49</v>
      </c>
      <c r="B103" s="10" t="s">
        <v>512</v>
      </c>
      <c r="C103" s="20" t="s">
        <v>418</v>
      </c>
      <c r="D103" s="20" t="s">
        <v>386</v>
      </c>
      <c r="E103" s="20" t="s">
        <v>266</v>
      </c>
      <c r="F103" s="20" t="s">
        <v>163</v>
      </c>
      <c r="G103" s="168" t="s">
        <v>92</v>
      </c>
      <c r="H103" s="243" t="s">
        <v>91</v>
      </c>
      <c r="I103" s="244"/>
      <c r="J103" s="226" t="s">
        <v>91</v>
      </c>
      <c r="K103" s="227"/>
      <c r="L103" s="226" t="s">
        <v>91</v>
      </c>
      <c r="M103" s="227"/>
      <c r="N103" s="232" t="s">
        <v>91</v>
      </c>
      <c r="O103" s="233"/>
      <c r="P103" s="226" t="s">
        <v>91</v>
      </c>
      <c r="Q103" s="227"/>
      <c r="R103" s="226" t="s">
        <v>91</v>
      </c>
      <c r="S103" s="227"/>
      <c r="T103" s="226" t="s">
        <v>91</v>
      </c>
      <c r="U103" s="227"/>
      <c r="V103" s="49"/>
    </row>
    <row r="104" spans="1:28" s="12" customFormat="1" ht="100.5" hidden="1" customHeight="1" x14ac:dyDescent="0.25">
      <c r="A104" s="13" t="s">
        <v>158</v>
      </c>
      <c r="B104" s="42" t="s">
        <v>270</v>
      </c>
      <c r="C104" s="10" t="s">
        <v>412</v>
      </c>
      <c r="D104" s="10" t="s">
        <v>385</v>
      </c>
      <c r="E104" s="10" t="s">
        <v>266</v>
      </c>
      <c r="F104" s="10" t="s">
        <v>108</v>
      </c>
      <c r="G104" s="168" t="s">
        <v>182</v>
      </c>
      <c r="H104" s="175">
        <v>0</v>
      </c>
      <c r="I104" s="175">
        <v>0</v>
      </c>
      <c r="J104" s="175">
        <v>0</v>
      </c>
      <c r="K104" s="175">
        <v>0</v>
      </c>
      <c r="L104" s="175">
        <v>0</v>
      </c>
      <c r="M104" s="175">
        <v>0</v>
      </c>
      <c r="N104" s="176">
        <v>0</v>
      </c>
      <c r="O104" s="176">
        <v>0</v>
      </c>
      <c r="P104" s="175">
        <v>0</v>
      </c>
      <c r="Q104" s="175">
        <v>0</v>
      </c>
      <c r="R104" s="175">
        <v>0</v>
      </c>
      <c r="S104" s="175">
        <v>0</v>
      </c>
      <c r="T104" s="175" t="e">
        <f>#REF!+H104+J104</f>
        <v>#REF!</v>
      </c>
      <c r="U104" s="175" t="e">
        <f>#REF!+I104+K104</f>
        <v>#REF!</v>
      </c>
      <c r="V104" s="49"/>
    </row>
    <row r="105" spans="1:28" s="12" customFormat="1" ht="69" hidden="1" customHeight="1" x14ac:dyDescent="0.25">
      <c r="A105" s="13" t="s">
        <v>159</v>
      </c>
      <c r="B105" s="42" t="s">
        <v>269</v>
      </c>
      <c r="C105" s="10" t="s">
        <v>224</v>
      </c>
      <c r="D105" s="10" t="s">
        <v>385</v>
      </c>
      <c r="E105" s="10" t="s">
        <v>266</v>
      </c>
      <c r="F105" s="10" t="s">
        <v>108</v>
      </c>
      <c r="G105" s="168" t="s">
        <v>182</v>
      </c>
      <c r="H105" s="175">
        <v>0</v>
      </c>
      <c r="I105" s="175">
        <v>0</v>
      </c>
      <c r="J105" s="175">
        <v>0</v>
      </c>
      <c r="K105" s="175">
        <v>0</v>
      </c>
      <c r="L105" s="175">
        <v>0</v>
      </c>
      <c r="M105" s="175">
        <v>0</v>
      </c>
      <c r="N105" s="176">
        <v>0</v>
      </c>
      <c r="O105" s="176">
        <v>0</v>
      </c>
      <c r="P105" s="175">
        <v>0</v>
      </c>
      <c r="Q105" s="175">
        <v>0</v>
      </c>
      <c r="R105" s="175">
        <v>0</v>
      </c>
      <c r="S105" s="175">
        <v>0</v>
      </c>
      <c r="T105" s="175" t="e">
        <f>#REF!+H105+J105+L105+N105+P105+R105</f>
        <v>#REF!</v>
      </c>
      <c r="U105" s="175" t="e">
        <f>#REF!+I105+K105</f>
        <v>#REF!</v>
      </c>
      <c r="V105" s="49"/>
    </row>
    <row r="106" spans="1:28" s="12" customFormat="1" ht="67.5" hidden="1" customHeight="1" x14ac:dyDescent="0.25">
      <c r="A106" s="13" t="s">
        <v>183</v>
      </c>
      <c r="B106" s="193" t="s">
        <v>398</v>
      </c>
      <c r="C106" s="10" t="s">
        <v>399</v>
      </c>
      <c r="D106" s="10" t="s">
        <v>386</v>
      </c>
      <c r="E106" s="10" t="s">
        <v>266</v>
      </c>
      <c r="F106" s="10" t="s">
        <v>108</v>
      </c>
      <c r="G106" s="168" t="s">
        <v>182</v>
      </c>
      <c r="H106" s="175">
        <v>0</v>
      </c>
      <c r="I106" s="175">
        <v>0</v>
      </c>
      <c r="J106" s="175">
        <v>0</v>
      </c>
      <c r="K106" s="175">
        <v>0</v>
      </c>
      <c r="L106" s="175">
        <v>0</v>
      </c>
      <c r="M106" s="175">
        <v>0</v>
      </c>
      <c r="N106" s="176">
        <v>0</v>
      </c>
      <c r="O106" s="176">
        <v>0</v>
      </c>
      <c r="P106" s="175">
        <v>0</v>
      </c>
      <c r="Q106" s="175">
        <v>0</v>
      </c>
      <c r="R106" s="175">
        <v>0</v>
      </c>
      <c r="S106" s="175">
        <v>0</v>
      </c>
      <c r="T106" s="175" t="e">
        <f>#REF!+H106+J106+L106+N106+P106+R106</f>
        <v>#REF!</v>
      </c>
      <c r="U106" s="175" t="e">
        <f>#REF!+I106+K106</f>
        <v>#REF!</v>
      </c>
      <c r="V106" s="49"/>
    </row>
    <row r="107" spans="1:28" s="12" customFormat="1" ht="177.75" customHeight="1" x14ac:dyDescent="0.25">
      <c r="A107" s="13" t="s">
        <v>423</v>
      </c>
      <c r="B107" s="13" t="s">
        <v>417</v>
      </c>
      <c r="C107" s="13" t="s">
        <v>570</v>
      </c>
      <c r="D107" s="10" t="s">
        <v>386</v>
      </c>
      <c r="E107" s="10" t="s">
        <v>588</v>
      </c>
      <c r="F107" s="10" t="s">
        <v>416</v>
      </c>
      <c r="G107" s="168" t="s">
        <v>93</v>
      </c>
      <c r="H107" s="171">
        <v>0</v>
      </c>
      <c r="I107" s="171">
        <v>0</v>
      </c>
      <c r="J107" s="171">
        <v>604</v>
      </c>
      <c r="K107" s="171">
        <v>0</v>
      </c>
      <c r="L107" s="171">
        <v>0</v>
      </c>
      <c r="M107" s="171">
        <v>0</v>
      </c>
      <c r="N107" s="207">
        <v>0</v>
      </c>
      <c r="O107" s="207">
        <v>0</v>
      </c>
      <c r="P107" s="171">
        <v>0</v>
      </c>
      <c r="Q107" s="171">
        <v>0</v>
      </c>
      <c r="R107" s="171">
        <v>0</v>
      </c>
      <c r="S107" s="171">
        <v>0</v>
      </c>
      <c r="T107" s="171">
        <f>H107+J107+L107+N107+P107+R107</f>
        <v>604</v>
      </c>
      <c r="U107" s="171">
        <f>I107+K107+M107+O107+Q107+S107</f>
        <v>0</v>
      </c>
      <c r="V107" s="153"/>
      <c r="W107" s="11"/>
      <c r="X107" s="11"/>
      <c r="Y107" s="11"/>
      <c r="Z107" s="11"/>
      <c r="AA107" s="11"/>
      <c r="AB107" s="11"/>
    </row>
    <row r="108" spans="1:28" s="12" customFormat="1" ht="177.75" customHeight="1" x14ac:dyDescent="0.25">
      <c r="A108" s="13" t="s">
        <v>424</v>
      </c>
      <c r="B108" s="13" t="s">
        <v>594</v>
      </c>
      <c r="C108" s="13" t="s">
        <v>571</v>
      </c>
      <c r="D108" s="196" t="s">
        <v>382</v>
      </c>
      <c r="E108" s="196" t="s">
        <v>589</v>
      </c>
      <c r="F108" s="196" t="s">
        <v>416</v>
      </c>
      <c r="G108" s="168" t="s">
        <v>93</v>
      </c>
      <c r="H108" s="171">
        <v>0</v>
      </c>
      <c r="I108" s="171">
        <v>0</v>
      </c>
      <c r="J108" s="171">
        <v>0</v>
      </c>
      <c r="K108" s="171">
        <v>0</v>
      </c>
      <c r="L108" s="171">
        <v>0</v>
      </c>
      <c r="M108" s="171">
        <v>0</v>
      </c>
      <c r="N108" s="207">
        <v>1400.4</v>
      </c>
      <c r="O108" s="207">
        <v>0</v>
      </c>
      <c r="P108" s="171">
        <v>3089.9</v>
      </c>
      <c r="Q108" s="171">
        <v>0</v>
      </c>
      <c r="R108" s="171">
        <v>0</v>
      </c>
      <c r="S108" s="171">
        <v>0</v>
      </c>
      <c r="T108" s="171">
        <f>H108+J108+L108+N108+P108+R108</f>
        <v>4490.3</v>
      </c>
      <c r="U108" s="171">
        <f>I108+K108+M108+O108+Q108+S108</f>
        <v>0</v>
      </c>
      <c r="V108" s="153"/>
      <c r="W108" s="11"/>
      <c r="X108" s="11"/>
      <c r="Y108" s="11"/>
      <c r="Z108" s="11"/>
      <c r="AA108" s="11"/>
      <c r="AB108" s="11"/>
    </row>
    <row r="109" spans="1:28" s="12" customFormat="1" ht="177.75" customHeight="1" x14ac:dyDescent="0.25">
      <c r="A109" s="13" t="s">
        <v>590</v>
      </c>
      <c r="B109" s="13" t="s">
        <v>425</v>
      </c>
      <c r="C109" s="13" t="s">
        <v>415</v>
      </c>
      <c r="D109" s="10" t="s">
        <v>386</v>
      </c>
      <c r="E109" s="10" t="s">
        <v>426</v>
      </c>
      <c r="F109" s="10" t="s">
        <v>427</v>
      </c>
      <c r="G109" s="168" t="s">
        <v>92</v>
      </c>
      <c r="H109" s="239" t="s">
        <v>91</v>
      </c>
      <c r="I109" s="240"/>
      <c r="J109" s="239" t="s">
        <v>91</v>
      </c>
      <c r="K109" s="240"/>
      <c r="L109" s="239" t="s">
        <v>91</v>
      </c>
      <c r="M109" s="240"/>
      <c r="N109" s="234" t="s">
        <v>91</v>
      </c>
      <c r="O109" s="235"/>
      <c r="P109" s="239" t="s">
        <v>91</v>
      </c>
      <c r="Q109" s="240"/>
      <c r="R109" s="239" t="s">
        <v>91</v>
      </c>
      <c r="S109" s="240"/>
      <c r="T109" s="239" t="s">
        <v>91</v>
      </c>
      <c r="U109" s="240"/>
      <c r="V109" s="153"/>
      <c r="W109" s="11"/>
      <c r="X109" s="11"/>
      <c r="Y109" s="11"/>
      <c r="Z109" s="11"/>
      <c r="AA109" s="11"/>
      <c r="AB109" s="11"/>
    </row>
    <row r="110" spans="1:28" ht="20.25" x14ac:dyDescent="0.25">
      <c r="A110" s="72" t="s">
        <v>43</v>
      </c>
      <c r="B110" s="284" t="s">
        <v>10</v>
      </c>
      <c r="C110" s="284"/>
      <c r="D110" s="284"/>
      <c r="E110" s="73"/>
      <c r="F110" s="73"/>
      <c r="G110" s="172"/>
      <c r="H110" s="173">
        <f t="shared" ref="H110:U110" si="35">H114+H113</f>
        <v>0</v>
      </c>
      <c r="I110" s="173">
        <f t="shared" si="35"/>
        <v>0</v>
      </c>
      <c r="J110" s="173">
        <f t="shared" si="35"/>
        <v>0</v>
      </c>
      <c r="K110" s="173">
        <f t="shared" si="35"/>
        <v>0</v>
      </c>
      <c r="L110" s="173">
        <f t="shared" si="35"/>
        <v>0</v>
      </c>
      <c r="M110" s="173">
        <f t="shared" si="35"/>
        <v>0</v>
      </c>
      <c r="N110" s="173">
        <f t="shared" si="35"/>
        <v>0</v>
      </c>
      <c r="O110" s="173">
        <f t="shared" si="35"/>
        <v>0</v>
      </c>
      <c r="P110" s="173">
        <f t="shared" si="35"/>
        <v>0</v>
      </c>
      <c r="Q110" s="173">
        <f t="shared" si="35"/>
        <v>0</v>
      </c>
      <c r="R110" s="173">
        <f t="shared" si="35"/>
        <v>0</v>
      </c>
      <c r="S110" s="173">
        <f t="shared" si="35"/>
        <v>0</v>
      </c>
      <c r="T110" s="173">
        <f t="shared" si="35"/>
        <v>0</v>
      </c>
      <c r="U110" s="173">
        <f t="shared" si="35"/>
        <v>0</v>
      </c>
      <c r="V110" s="30"/>
    </row>
    <row r="111" spans="1:28" ht="63.75" customHeight="1" x14ac:dyDescent="0.25">
      <c r="A111" s="14" t="s">
        <v>50</v>
      </c>
      <c r="B111" s="4" t="s">
        <v>18</v>
      </c>
      <c r="C111" s="10" t="s">
        <v>86</v>
      </c>
      <c r="D111" s="10" t="s">
        <v>386</v>
      </c>
      <c r="E111" s="10" t="s">
        <v>303</v>
      </c>
      <c r="F111" s="10" t="s">
        <v>110</v>
      </c>
      <c r="G111" s="168" t="s">
        <v>92</v>
      </c>
      <c r="H111" s="232" t="s">
        <v>91</v>
      </c>
      <c r="I111" s="233"/>
      <c r="J111" s="232" t="s">
        <v>91</v>
      </c>
      <c r="K111" s="233"/>
      <c r="L111" s="232" t="s">
        <v>91</v>
      </c>
      <c r="M111" s="233"/>
      <c r="N111" s="232" t="s">
        <v>91</v>
      </c>
      <c r="O111" s="233"/>
      <c r="P111" s="232" t="s">
        <v>91</v>
      </c>
      <c r="Q111" s="233"/>
      <c r="R111" s="232" t="s">
        <v>91</v>
      </c>
      <c r="S111" s="233"/>
      <c r="T111" s="232" t="s">
        <v>91</v>
      </c>
      <c r="U111" s="233"/>
      <c r="V111" s="36"/>
    </row>
    <row r="112" spans="1:28" ht="79.5" customHeight="1" x14ac:dyDescent="0.25">
      <c r="A112" s="14" t="s">
        <v>51</v>
      </c>
      <c r="B112" s="17" t="s">
        <v>9</v>
      </c>
      <c r="C112" s="10" t="s">
        <v>86</v>
      </c>
      <c r="D112" s="10" t="s">
        <v>386</v>
      </c>
      <c r="E112" s="10" t="s">
        <v>302</v>
      </c>
      <c r="F112" s="10" t="s">
        <v>122</v>
      </c>
      <c r="G112" s="168" t="s">
        <v>92</v>
      </c>
      <c r="H112" s="232" t="s">
        <v>91</v>
      </c>
      <c r="I112" s="233"/>
      <c r="J112" s="232" t="s">
        <v>91</v>
      </c>
      <c r="K112" s="233"/>
      <c r="L112" s="232" t="s">
        <v>91</v>
      </c>
      <c r="M112" s="233"/>
      <c r="N112" s="232" t="s">
        <v>91</v>
      </c>
      <c r="O112" s="233"/>
      <c r="P112" s="232" t="s">
        <v>91</v>
      </c>
      <c r="Q112" s="233"/>
      <c r="R112" s="232" t="s">
        <v>91</v>
      </c>
      <c r="S112" s="233"/>
      <c r="T112" s="232" t="s">
        <v>91</v>
      </c>
      <c r="U112" s="233"/>
      <c r="V112" s="36"/>
    </row>
    <row r="113" spans="1:28" ht="120" customHeight="1" x14ac:dyDescent="0.25">
      <c r="A113" s="14" t="s">
        <v>52</v>
      </c>
      <c r="B113" s="17" t="s">
        <v>8</v>
      </c>
      <c r="C113" s="10" t="s">
        <v>86</v>
      </c>
      <c r="D113" s="10" t="s">
        <v>386</v>
      </c>
      <c r="E113" s="10" t="s">
        <v>300</v>
      </c>
      <c r="F113" s="10" t="s">
        <v>108</v>
      </c>
      <c r="G113" s="168" t="s">
        <v>182</v>
      </c>
      <c r="H113" s="175">
        <v>0</v>
      </c>
      <c r="I113" s="176">
        <v>0</v>
      </c>
      <c r="J113" s="176">
        <v>0</v>
      </c>
      <c r="K113" s="176">
        <v>0</v>
      </c>
      <c r="L113" s="176">
        <v>0</v>
      </c>
      <c r="M113" s="176">
        <v>0</v>
      </c>
      <c r="N113" s="176">
        <v>0</v>
      </c>
      <c r="O113" s="176">
        <v>0</v>
      </c>
      <c r="P113" s="176">
        <v>0</v>
      </c>
      <c r="Q113" s="176">
        <v>0</v>
      </c>
      <c r="R113" s="176">
        <v>0</v>
      </c>
      <c r="S113" s="176">
        <v>0</v>
      </c>
      <c r="T113" s="176">
        <f>H113+J113</f>
        <v>0</v>
      </c>
      <c r="U113" s="176">
        <f>I113+K113</f>
        <v>0</v>
      </c>
      <c r="V113" s="57">
        <f>H113+J113+T113</f>
        <v>0</v>
      </c>
      <c r="W113" s="57">
        <f>I113+K113+U113</f>
        <v>0</v>
      </c>
      <c r="X113" s="57">
        <f>J113+T113+V113</f>
        <v>0</v>
      </c>
      <c r="Y113" s="57">
        <f>K113+U113+W113</f>
        <v>0</v>
      </c>
      <c r="Z113" s="57">
        <f>T113+V113+X113</f>
        <v>0</v>
      </c>
      <c r="AA113" s="57">
        <f>U113+W113+Y113</f>
        <v>0</v>
      </c>
      <c r="AB113" s="57">
        <f>V113+X113+Z113</f>
        <v>0</v>
      </c>
    </row>
    <row r="114" spans="1:28" ht="135" customHeight="1" x14ac:dyDescent="0.25">
      <c r="A114" s="14" t="s">
        <v>53</v>
      </c>
      <c r="B114" s="17" t="s">
        <v>19</v>
      </c>
      <c r="C114" s="10" t="s">
        <v>86</v>
      </c>
      <c r="D114" s="10" t="s">
        <v>386</v>
      </c>
      <c r="E114" s="10" t="s">
        <v>482</v>
      </c>
      <c r="F114" s="10" t="s">
        <v>108</v>
      </c>
      <c r="G114" s="168" t="s">
        <v>93</v>
      </c>
      <c r="H114" s="176">
        <v>0</v>
      </c>
      <c r="I114" s="176">
        <v>0</v>
      </c>
      <c r="J114" s="176">
        <v>0</v>
      </c>
      <c r="K114" s="176">
        <v>0</v>
      </c>
      <c r="L114" s="176">
        <v>0</v>
      </c>
      <c r="M114" s="176">
        <v>0</v>
      </c>
      <c r="N114" s="176">
        <v>0</v>
      </c>
      <c r="O114" s="176">
        <v>0</v>
      </c>
      <c r="P114" s="176">
        <v>0</v>
      </c>
      <c r="Q114" s="176">
        <v>0</v>
      </c>
      <c r="R114" s="176">
        <v>0</v>
      </c>
      <c r="S114" s="176">
        <v>0</v>
      </c>
      <c r="T114" s="176">
        <f>H114+J114</f>
        <v>0</v>
      </c>
      <c r="U114" s="176">
        <f>I114+K114</f>
        <v>0</v>
      </c>
      <c r="V114" s="30"/>
    </row>
    <row r="115" spans="1:28" ht="135" customHeight="1" x14ac:dyDescent="0.25">
      <c r="A115" s="14" t="s">
        <v>54</v>
      </c>
      <c r="B115" s="17" t="s">
        <v>497</v>
      </c>
      <c r="C115" s="10" t="s">
        <v>86</v>
      </c>
      <c r="D115" s="10">
        <v>2020</v>
      </c>
      <c r="E115" s="10" t="s">
        <v>498</v>
      </c>
      <c r="F115" s="10" t="s">
        <v>499</v>
      </c>
      <c r="G115" s="168" t="s">
        <v>92</v>
      </c>
      <c r="H115" s="232" t="s">
        <v>428</v>
      </c>
      <c r="I115" s="233"/>
      <c r="J115" s="232" t="s">
        <v>91</v>
      </c>
      <c r="K115" s="233"/>
      <c r="L115" s="232" t="s">
        <v>91</v>
      </c>
      <c r="M115" s="233"/>
      <c r="N115" s="232" t="s">
        <v>91</v>
      </c>
      <c r="O115" s="233"/>
      <c r="P115" s="232" t="s">
        <v>91</v>
      </c>
      <c r="Q115" s="233"/>
      <c r="R115" s="232" t="s">
        <v>91</v>
      </c>
      <c r="S115" s="233"/>
      <c r="T115" s="232" t="s">
        <v>91</v>
      </c>
      <c r="U115" s="233"/>
      <c r="V115" s="30"/>
    </row>
    <row r="116" spans="1:28" ht="25.5" customHeight="1" x14ac:dyDescent="0.25">
      <c r="A116" s="146" t="s">
        <v>60</v>
      </c>
      <c r="B116" s="236" t="s">
        <v>429</v>
      </c>
      <c r="C116" s="237"/>
      <c r="D116" s="237"/>
      <c r="E116" s="237"/>
      <c r="F116" s="237"/>
      <c r="G116" s="237"/>
      <c r="H116" s="237"/>
      <c r="I116" s="237"/>
      <c r="J116" s="237"/>
      <c r="K116" s="237"/>
      <c r="L116" s="237"/>
      <c r="M116" s="237"/>
      <c r="N116" s="237"/>
      <c r="O116" s="237"/>
      <c r="P116" s="237"/>
      <c r="Q116" s="237"/>
      <c r="R116" s="237"/>
      <c r="S116" s="237"/>
      <c r="T116" s="237"/>
      <c r="U116" s="238"/>
      <c r="V116" s="30"/>
    </row>
    <row r="117" spans="1:28" s="7" customFormat="1" ht="104.25" customHeight="1" x14ac:dyDescent="0.25">
      <c r="A117" s="13" t="s">
        <v>70</v>
      </c>
      <c r="B117" s="13" t="s">
        <v>430</v>
      </c>
      <c r="C117" s="13" t="s">
        <v>431</v>
      </c>
      <c r="D117" s="13" t="s">
        <v>386</v>
      </c>
      <c r="E117" s="13" t="s">
        <v>432</v>
      </c>
      <c r="F117" s="13" t="s">
        <v>433</v>
      </c>
      <c r="G117" s="168" t="s">
        <v>92</v>
      </c>
      <c r="H117" s="228" t="s">
        <v>91</v>
      </c>
      <c r="I117" s="229"/>
      <c r="J117" s="228" t="s">
        <v>91</v>
      </c>
      <c r="K117" s="229"/>
      <c r="L117" s="228" t="s">
        <v>91</v>
      </c>
      <c r="M117" s="229"/>
      <c r="N117" s="230" t="s">
        <v>91</v>
      </c>
      <c r="O117" s="231"/>
      <c r="P117" s="228" t="s">
        <v>91</v>
      </c>
      <c r="Q117" s="229"/>
      <c r="R117" s="228" t="s">
        <v>91</v>
      </c>
      <c r="S117" s="229"/>
      <c r="T117" s="228" t="s">
        <v>91</v>
      </c>
      <c r="U117" s="229"/>
      <c r="V117" s="33"/>
    </row>
    <row r="118" spans="1:28" s="7" customFormat="1" ht="97.5" customHeight="1" x14ac:dyDescent="0.25">
      <c r="A118" s="218" t="s">
        <v>71</v>
      </c>
      <c r="B118" s="218" t="s">
        <v>434</v>
      </c>
      <c r="C118" s="218" t="s">
        <v>431</v>
      </c>
      <c r="D118" s="218" t="s">
        <v>386</v>
      </c>
      <c r="E118" s="13" t="s">
        <v>438</v>
      </c>
      <c r="F118" s="13" t="s">
        <v>437</v>
      </c>
      <c r="G118" s="168" t="s">
        <v>435</v>
      </c>
      <c r="H118" s="228" t="s">
        <v>436</v>
      </c>
      <c r="I118" s="229"/>
      <c r="J118" s="228" t="s">
        <v>436</v>
      </c>
      <c r="K118" s="229"/>
      <c r="L118" s="228" t="s">
        <v>591</v>
      </c>
      <c r="M118" s="229"/>
      <c r="N118" s="230" t="s">
        <v>591</v>
      </c>
      <c r="O118" s="231"/>
      <c r="P118" s="228" t="s">
        <v>591</v>
      </c>
      <c r="Q118" s="229"/>
      <c r="R118" s="228" t="s">
        <v>591</v>
      </c>
      <c r="S118" s="229"/>
      <c r="T118" s="228" t="s">
        <v>591</v>
      </c>
      <c r="U118" s="229"/>
      <c r="V118" s="33"/>
    </row>
    <row r="119" spans="1:28" s="7" customFormat="1" ht="84.75" customHeight="1" x14ac:dyDescent="0.25">
      <c r="A119" s="219"/>
      <c r="B119" s="219"/>
      <c r="C119" s="219"/>
      <c r="D119" s="219"/>
      <c r="E119" s="13" t="s">
        <v>439</v>
      </c>
      <c r="F119" s="13" t="s">
        <v>440</v>
      </c>
      <c r="G119" s="168" t="s">
        <v>435</v>
      </c>
      <c r="H119" s="228">
        <v>100</v>
      </c>
      <c r="I119" s="229"/>
      <c r="J119" s="228">
        <v>0</v>
      </c>
      <c r="K119" s="229"/>
      <c r="L119" s="228">
        <v>0</v>
      </c>
      <c r="M119" s="229"/>
      <c r="N119" s="230">
        <v>0</v>
      </c>
      <c r="O119" s="231"/>
      <c r="P119" s="228">
        <v>0</v>
      </c>
      <c r="Q119" s="229"/>
      <c r="R119" s="228">
        <v>0</v>
      </c>
      <c r="S119" s="229"/>
      <c r="T119" s="228">
        <v>0</v>
      </c>
      <c r="U119" s="229"/>
      <c r="V119" s="33"/>
    </row>
    <row r="120" spans="1:28" s="7" customFormat="1" ht="153.75" customHeight="1" x14ac:dyDescent="0.25">
      <c r="A120" s="220"/>
      <c r="B120" s="220"/>
      <c r="C120" s="220"/>
      <c r="D120" s="220"/>
      <c r="E120" s="13" t="s">
        <v>472</v>
      </c>
      <c r="F120" s="13" t="s">
        <v>473</v>
      </c>
      <c r="G120" s="168" t="s">
        <v>92</v>
      </c>
      <c r="H120" s="228" t="s">
        <v>91</v>
      </c>
      <c r="I120" s="229"/>
      <c r="J120" s="228" t="s">
        <v>91</v>
      </c>
      <c r="K120" s="229"/>
      <c r="L120" s="228" t="s">
        <v>91</v>
      </c>
      <c r="M120" s="229"/>
      <c r="N120" s="230" t="s">
        <v>91</v>
      </c>
      <c r="O120" s="231"/>
      <c r="P120" s="228" t="s">
        <v>91</v>
      </c>
      <c r="Q120" s="229"/>
      <c r="R120" s="228" t="s">
        <v>91</v>
      </c>
      <c r="S120" s="229"/>
      <c r="T120" s="228" t="s">
        <v>91</v>
      </c>
      <c r="U120" s="229"/>
      <c r="V120" s="33"/>
    </row>
    <row r="121" spans="1:28" s="16" customFormat="1" ht="32.25" customHeight="1" x14ac:dyDescent="0.25">
      <c r="A121" s="79"/>
      <c r="B121" s="78" t="s">
        <v>106</v>
      </c>
      <c r="C121" s="80"/>
      <c r="D121" s="80"/>
      <c r="E121" s="81"/>
      <c r="F121" s="81"/>
      <c r="G121" s="82"/>
      <c r="H121" s="83">
        <f t="shared" ref="H121:U121" si="36">H49+H97+H110+H44</f>
        <v>12813.674999999999</v>
      </c>
      <c r="I121" s="83">
        <f t="shared" si="36"/>
        <v>6296.8</v>
      </c>
      <c r="J121" s="83">
        <f t="shared" si="36"/>
        <v>31432.559159999997</v>
      </c>
      <c r="K121" s="83">
        <f t="shared" si="36"/>
        <v>22200.457719999999</v>
      </c>
      <c r="L121" s="83">
        <f t="shared" si="36"/>
        <v>65644.690480000019</v>
      </c>
      <c r="M121" s="83">
        <f t="shared" si="36"/>
        <v>55290.688550000006</v>
      </c>
      <c r="N121" s="83">
        <f t="shared" si="36"/>
        <v>97201.728099999978</v>
      </c>
      <c r="O121" s="83">
        <f t="shared" si="36"/>
        <v>76987.826849999983</v>
      </c>
      <c r="P121" s="83">
        <f t="shared" si="36"/>
        <v>36324.831579999998</v>
      </c>
      <c r="Q121" s="83">
        <f t="shared" si="36"/>
        <v>21827.44831</v>
      </c>
      <c r="R121" s="83">
        <f t="shared" si="36"/>
        <v>9237.01</v>
      </c>
      <c r="S121" s="83">
        <f t="shared" si="36"/>
        <v>1243</v>
      </c>
      <c r="T121" s="83">
        <f t="shared" si="36"/>
        <v>253361.59431999997</v>
      </c>
      <c r="U121" s="83">
        <f t="shared" si="36"/>
        <v>184553.32143000001</v>
      </c>
      <c r="V121" s="36"/>
      <c r="W121" s="15"/>
      <c r="X121" s="15"/>
      <c r="Y121" s="15"/>
      <c r="Z121" s="15"/>
      <c r="AA121" s="15"/>
      <c r="AB121" s="15"/>
    </row>
    <row r="122" spans="1:28" s="16" customFormat="1" ht="32.25" customHeight="1" x14ac:dyDescent="0.25">
      <c r="A122" s="79"/>
      <c r="B122" s="78" t="s">
        <v>529</v>
      </c>
      <c r="C122" s="80"/>
      <c r="D122" s="80"/>
      <c r="E122" s="81"/>
      <c r="F122" s="81"/>
      <c r="G122" s="82"/>
      <c r="H122" s="83"/>
      <c r="I122" s="83"/>
      <c r="J122" s="83"/>
      <c r="K122" s="83"/>
      <c r="L122" s="83"/>
      <c r="M122" s="83"/>
      <c r="N122" s="83"/>
      <c r="O122" s="83"/>
      <c r="P122" s="83"/>
      <c r="Q122" s="83"/>
      <c r="R122" s="83"/>
      <c r="S122" s="83"/>
      <c r="T122" s="83"/>
      <c r="U122" s="83"/>
      <c r="V122" s="36"/>
      <c r="W122" s="15"/>
      <c r="X122" s="15"/>
      <c r="Y122" s="15"/>
      <c r="Z122" s="15"/>
      <c r="AA122" s="15"/>
      <c r="AB122" s="15"/>
    </row>
    <row r="123" spans="1:28" s="16" customFormat="1" ht="55.5" customHeight="1" x14ac:dyDescent="0.25">
      <c r="A123" s="79"/>
      <c r="B123" s="78" t="s">
        <v>576</v>
      </c>
      <c r="C123" s="80"/>
      <c r="D123" s="80"/>
      <c r="E123" s="81"/>
      <c r="F123" s="81"/>
      <c r="G123" s="82"/>
      <c r="H123" s="83"/>
      <c r="I123" s="83"/>
      <c r="J123" s="83"/>
      <c r="K123" s="83"/>
      <c r="L123" s="83">
        <f>L57+L59+L60+L70+L62+L86+1269.34+880.40459+L85</f>
        <v>28278.981289999996</v>
      </c>
      <c r="M123" s="83">
        <f>M57+M59+M60+M70+M62+M86+1269.34485+880.40459+M85</f>
        <v>24297.091559999997</v>
      </c>
      <c r="N123" s="83">
        <v>0</v>
      </c>
      <c r="O123" s="83">
        <v>0</v>
      </c>
      <c r="P123" s="83"/>
      <c r="Q123" s="83"/>
      <c r="R123" s="83"/>
      <c r="S123" s="83"/>
      <c r="T123" s="83"/>
      <c r="U123" s="83"/>
      <c r="V123" s="36"/>
      <c r="W123" s="15"/>
      <c r="X123" s="15"/>
      <c r="Y123" s="15"/>
      <c r="Z123" s="15"/>
      <c r="AA123" s="15"/>
      <c r="AB123" s="15"/>
    </row>
    <row r="124" spans="1:28" s="16" customFormat="1" ht="55.5" customHeight="1" x14ac:dyDescent="0.25">
      <c r="A124" s="79"/>
      <c r="B124" s="78" t="s">
        <v>577</v>
      </c>
      <c r="C124" s="80"/>
      <c r="D124" s="80"/>
      <c r="E124" s="81"/>
      <c r="F124" s="81"/>
      <c r="G124" s="82"/>
      <c r="H124" s="83"/>
      <c r="I124" s="83"/>
      <c r="J124" s="83"/>
      <c r="K124" s="83"/>
      <c r="L124" s="83">
        <v>0</v>
      </c>
      <c r="M124" s="83">
        <v>0</v>
      </c>
      <c r="N124" s="83">
        <f>N88+N82+N78+N77+N76+N75+N74+N72+N71+N69+N68+N66+N65+N64+N63+N61</f>
        <v>63290.824010000011</v>
      </c>
      <c r="O124" s="83">
        <f>O88+O82+O78+O77+O76+O75+O74+O72+O71+O69+O68+O66+O65+O64+O63+O61</f>
        <v>49422.716849999997</v>
      </c>
      <c r="P124" s="83"/>
      <c r="Q124" s="83"/>
      <c r="R124" s="83"/>
      <c r="S124" s="83"/>
      <c r="T124" s="83"/>
      <c r="U124" s="83"/>
      <c r="V124" s="36"/>
      <c r="W124" s="15"/>
      <c r="X124" s="15"/>
      <c r="Y124" s="15"/>
      <c r="Z124" s="15"/>
      <c r="AA124" s="15"/>
      <c r="AB124" s="15"/>
    </row>
    <row r="125" spans="1:28" s="16" customFormat="1" ht="32.25" customHeight="1" x14ac:dyDescent="0.25">
      <c r="A125" s="79"/>
      <c r="B125" s="78" t="s">
        <v>575</v>
      </c>
      <c r="C125" s="80"/>
      <c r="D125" s="80"/>
      <c r="E125" s="81"/>
      <c r="F125" s="81"/>
      <c r="G125" s="82"/>
      <c r="H125" s="83"/>
      <c r="I125" s="83"/>
      <c r="J125" s="83"/>
      <c r="K125" s="83"/>
      <c r="L125" s="83">
        <f>L51+L63+L68+L61+L64+L65+L66+L69+L71+L72+L74+L75+L76+L77+L82+L88-1269.34485-880.40459+L78</f>
        <v>25065.70434</v>
      </c>
      <c r="M125" s="83">
        <f>M51+M63+M68+M61+M64+M65+M66+M69+M71+M72+M74+M75+M76+M77+M82+M88-1269.34485-880.40459+M78</f>
        <v>21241.086990000003</v>
      </c>
      <c r="N125" s="83">
        <v>0</v>
      </c>
      <c r="O125" s="83">
        <v>0</v>
      </c>
      <c r="P125" s="83"/>
      <c r="Q125" s="83"/>
      <c r="R125" s="83"/>
      <c r="S125" s="83"/>
      <c r="T125" s="83"/>
      <c r="U125" s="83"/>
      <c r="V125" s="83">
        <f t="shared" ref="V125:AB125" si="37">V63+V68+V51</f>
        <v>0</v>
      </c>
      <c r="W125" s="83">
        <f t="shared" si="37"/>
        <v>0</v>
      </c>
      <c r="X125" s="83">
        <f t="shared" si="37"/>
        <v>0</v>
      </c>
      <c r="Y125" s="83">
        <f t="shared" si="37"/>
        <v>0</v>
      </c>
      <c r="Z125" s="83">
        <f t="shared" si="37"/>
        <v>0</v>
      </c>
      <c r="AA125" s="83">
        <f t="shared" si="37"/>
        <v>0</v>
      </c>
      <c r="AB125" s="83">
        <f t="shared" si="37"/>
        <v>0</v>
      </c>
    </row>
    <row r="126" spans="1:28" s="16" customFormat="1" ht="32.25" customHeight="1" x14ac:dyDescent="0.25">
      <c r="A126" s="79"/>
      <c r="B126" s="78" t="s">
        <v>579</v>
      </c>
      <c r="C126" s="80"/>
      <c r="D126" s="80"/>
      <c r="E126" s="81"/>
      <c r="F126" s="81"/>
      <c r="G126" s="82"/>
      <c r="H126" s="83"/>
      <c r="I126" s="83"/>
      <c r="J126" s="83"/>
      <c r="K126" s="83"/>
      <c r="L126" s="83">
        <f>L98</f>
        <v>12300</v>
      </c>
      <c r="M126" s="83">
        <f>M98</f>
        <v>9752.51</v>
      </c>
      <c r="N126" s="83">
        <v>0</v>
      </c>
      <c r="O126" s="83">
        <v>0</v>
      </c>
      <c r="P126" s="83"/>
      <c r="Q126" s="83"/>
      <c r="R126" s="83"/>
      <c r="S126" s="83"/>
      <c r="T126" s="83"/>
      <c r="U126" s="83"/>
      <c r="V126" s="36"/>
      <c r="W126" s="15"/>
      <c r="X126" s="15"/>
      <c r="Y126" s="15"/>
      <c r="Z126" s="15"/>
      <c r="AA126" s="15"/>
      <c r="AB126" s="15"/>
    </row>
    <row r="127" spans="1:28" s="16" customFormat="1" ht="32.25" customHeight="1" x14ac:dyDescent="0.25">
      <c r="A127" s="79"/>
      <c r="B127" s="78" t="s">
        <v>578</v>
      </c>
      <c r="C127" s="80"/>
      <c r="D127" s="80"/>
      <c r="E127" s="81"/>
      <c r="F127" s="81"/>
      <c r="G127" s="82"/>
      <c r="H127" s="83"/>
      <c r="I127" s="83"/>
      <c r="J127" s="83"/>
      <c r="K127" s="83"/>
      <c r="L127" s="83">
        <v>0</v>
      </c>
      <c r="M127" s="83">
        <v>0</v>
      </c>
      <c r="N127" s="83">
        <f>N108+N98+N51+N83+N67</f>
        <v>33910.904090000004</v>
      </c>
      <c r="O127" s="83">
        <f>O108+O98+O51+O83+O67</f>
        <v>27565.11</v>
      </c>
      <c r="P127" s="83"/>
      <c r="Q127" s="83"/>
      <c r="R127" s="83"/>
      <c r="S127" s="83"/>
      <c r="T127" s="83"/>
      <c r="U127" s="83"/>
      <c r="V127" s="36"/>
      <c r="W127" s="15"/>
      <c r="X127" s="15"/>
      <c r="Y127" s="15"/>
      <c r="Z127" s="15"/>
      <c r="AA127" s="15"/>
      <c r="AB127" s="15"/>
    </row>
    <row r="128" spans="1:28" s="16" customFormat="1" ht="33.75" customHeight="1" x14ac:dyDescent="0.25">
      <c r="A128" s="79"/>
      <c r="B128" s="84" t="s">
        <v>111</v>
      </c>
      <c r="C128" s="85"/>
      <c r="D128" s="85"/>
      <c r="E128" s="86"/>
      <c r="F128" s="86"/>
      <c r="G128" s="87"/>
      <c r="H128" s="88">
        <f t="shared" ref="H128:AB128" si="38">H42+H121</f>
        <v>29181.224470000001</v>
      </c>
      <c r="I128" s="88">
        <f t="shared" si="38"/>
        <v>6296.8</v>
      </c>
      <c r="J128" s="88">
        <f t="shared" si="38"/>
        <v>35308.862959999999</v>
      </c>
      <c r="K128" s="88">
        <f t="shared" si="38"/>
        <v>22200.457719999999</v>
      </c>
      <c r="L128" s="88">
        <f t="shared" si="38"/>
        <v>69880.391370000027</v>
      </c>
      <c r="M128" s="88">
        <f t="shared" si="38"/>
        <v>55290.688550000006</v>
      </c>
      <c r="N128" s="88">
        <f t="shared" si="38"/>
        <v>101317.21809999998</v>
      </c>
      <c r="O128" s="88">
        <f t="shared" si="38"/>
        <v>76987.826849999983</v>
      </c>
      <c r="P128" s="88">
        <f t="shared" si="38"/>
        <v>36859.831579999998</v>
      </c>
      <c r="Q128" s="88">
        <f t="shared" si="38"/>
        <v>21827.44831</v>
      </c>
      <c r="R128" s="88">
        <f t="shared" si="38"/>
        <v>9772.01</v>
      </c>
      <c r="S128" s="88">
        <f t="shared" si="38"/>
        <v>1243</v>
      </c>
      <c r="T128" s="88">
        <f t="shared" si="38"/>
        <v>283026.63847999997</v>
      </c>
      <c r="U128" s="88">
        <f t="shared" si="38"/>
        <v>184553.32143000001</v>
      </c>
      <c r="V128" s="88">
        <f t="shared" si="38"/>
        <v>0</v>
      </c>
      <c r="W128" s="88">
        <f t="shared" si="38"/>
        <v>0</v>
      </c>
      <c r="X128" s="88">
        <f t="shared" si="38"/>
        <v>0</v>
      </c>
      <c r="Y128" s="88">
        <f t="shared" si="38"/>
        <v>0</v>
      </c>
      <c r="Z128" s="88">
        <f t="shared" si="38"/>
        <v>0</v>
      </c>
      <c r="AA128" s="88">
        <f t="shared" si="38"/>
        <v>0</v>
      </c>
      <c r="AB128" s="88">
        <f t="shared" si="38"/>
        <v>0</v>
      </c>
    </row>
  </sheetData>
  <mergeCells count="375">
    <mergeCell ref="L115:M115"/>
    <mergeCell ref="N115:O115"/>
    <mergeCell ref="P115:Q115"/>
    <mergeCell ref="R115:S115"/>
    <mergeCell ref="T115:U115"/>
    <mergeCell ref="B58:B59"/>
    <mergeCell ref="C58:C59"/>
    <mergeCell ref="H95:I95"/>
    <mergeCell ref="J95:K95"/>
    <mergeCell ref="B97:D97"/>
    <mergeCell ref="B110:D110"/>
    <mergeCell ref="H102:I102"/>
    <mergeCell ref="J102:K102"/>
    <mergeCell ref="T102:U102"/>
    <mergeCell ref="H101:I101"/>
    <mergeCell ref="J101:K101"/>
    <mergeCell ref="T101:U101"/>
    <mergeCell ref="H100:I100"/>
    <mergeCell ref="J100:K100"/>
    <mergeCell ref="T100:U100"/>
    <mergeCell ref="L100:M100"/>
    <mergeCell ref="J93:K93"/>
    <mergeCell ref="J91:K91"/>
    <mergeCell ref="H96:I96"/>
    <mergeCell ref="J96:K96"/>
    <mergeCell ref="L96:M96"/>
    <mergeCell ref="H84:I84"/>
    <mergeCell ref="J84:K84"/>
    <mergeCell ref="H94:I94"/>
    <mergeCell ref="J94:K94"/>
    <mergeCell ref="H89:I89"/>
    <mergeCell ref="J89:K89"/>
    <mergeCell ref="H93:I93"/>
    <mergeCell ref="H91:I91"/>
    <mergeCell ref="P91:Q91"/>
    <mergeCell ref="P93:Q93"/>
    <mergeCell ref="N94:O94"/>
    <mergeCell ref="N95:O95"/>
    <mergeCell ref="N96:O96"/>
    <mergeCell ref="P94:Q94"/>
    <mergeCell ref="P95:Q95"/>
    <mergeCell ref="L94:M94"/>
    <mergeCell ref="L95:M95"/>
    <mergeCell ref="T21:U21"/>
    <mergeCell ref="L32:M32"/>
    <mergeCell ref="L35:M35"/>
    <mergeCell ref="N17:O17"/>
    <mergeCell ref="N19:O19"/>
    <mergeCell ref="T30:U30"/>
    <mergeCell ref="A58:A59"/>
    <mergeCell ref="B56:B57"/>
    <mergeCell ref="A56:A57"/>
    <mergeCell ref="C56:C57"/>
    <mergeCell ref="A53:A54"/>
    <mergeCell ref="H35:I35"/>
    <mergeCell ref="H45:I45"/>
    <mergeCell ref="J45:K45"/>
    <mergeCell ref="H41:I41"/>
    <mergeCell ref="J41:K41"/>
    <mergeCell ref="A21:A22"/>
    <mergeCell ref="B21:B22"/>
    <mergeCell ref="B28:B29"/>
    <mergeCell ref="J35:K35"/>
    <mergeCell ref="H32:I32"/>
    <mergeCell ref="J32:K32"/>
    <mergeCell ref="C28:C29"/>
    <mergeCell ref="H29:I29"/>
    <mergeCell ref="J29:K29"/>
    <mergeCell ref="L29:M29"/>
    <mergeCell ref="N29:O29"/>
    <mergeCell ref="N21:O21"/>
    <mergeCell ref="H18:I18"/>
    <mergeCell ref="J18:K18"/>
    <mergeCell ref="C21:C22"/>
    <mergeCell ref="H20:I20"/>
    <mergeCell ref="N18:O18"/>
    <mergeCell ref="J20:K20"/>
    <mergeCell ref="P4:Q4"/>
    <mergeCell ref="P9:Q12"/>
    <mergeCell ref="P14:Q14"/>
    <mergeCell ref="R9:S12"/>
    <mergeCell ref="H8:I8"/>
    <mergeCell ref="J8:K8"/>
    <mergeCell ref="L8:M8"/>
    <mergeCell ref="N8:O8"/>
    <mergeCell ref="H13:I13"/>
    <mergeCell ref="J13:K13"/>
    <mergeCell ref="L13:M13"/>
    <mergeCell ref="N13:O13"/>
    <mergeCell ref="L9:M12"/>
    <mergeCell ref="H14:I14"/>
    <mergeCell ref="J14:K14"/>
    <mergeCell ref="L14:M14"/>
    <mergeCell ref="N14:O14"/>
    <mergeCell ref="E9:E12"/>
    <mergeCell ref="L21:M21"/>
    <mergeCell ref="H17:I17"/>
    <mergeCell ref="J17:K17"/>
    <mergeCell ref="H19:I19"/>
    <mergeCell ref="J19:K19"/>
    <mergeCell ref="L17:M17"/>
    <mergeCell ref="L19:M19"/>
    <mergeCell ref="P18:Q18"/>
    <mergeCell ref="H30:I30"/>
    <mergeCell ref="J30:K30"/>
    <mergeCell ref="L30:M30"/>
    <mergeCell ref="N30:O30"/>
    <mergeCell ref="P32:Q32"/>
    <mergeCell ref="N4:O4"/>
    <mergeCell ref="N9:O12"/>
    <mergeCell ref="R4:S4"/>
    <mergeCell ref="T29:U29"/>
    <mergeCell ref="P21:Q21"/>
    <mergeCell ref="R21:S21"/>
    <mergeCell ref="H21:I21"/>
    <mergeCell ref="J21:K21"/>
    <mergeCell ref="R14:S14"/>
    <mergeCell ref="P13:Q13"/>
    <mergeCell ref="R13:S13"/>
    <mergeCell ref="T14:U14"/>
    <mergeCell ref="P27:Q27"/>
    <mergeCell ref="H27:I27"/>
    <mergeCell ref="H15:I15"/>
    <mergeCell ref="J15:K15"/>
    <mergeCell ref="N20:O20"/>
    <mergeCell ref="T17:U17"/>
    <mergeCell ref="T19:U19"/>
    <mergeCell ref="A28:A29"/>
    <mergeCell ref="H9:I12"/>
    <mergeCell ref="G1:U1"/>
    <mergeCell ref="A2:U2"/>
    <mergeCell ref="H3:U3"/>
    <mergeCell ref="H4:I4"/>
    <mergeCell ref="J4:K4"/>
    <mergeCell ref="T4:U4"/>
    <mergeCell ref="B7:D7"/>
    <mergeCell ref="A3:A5"/>
    <mergeCell ref="B3:B5"/>
    <mergeCell ref="C3:C5"/>
    <mergeCell ref="D3:D5"/>
    <mergeCell ref="F3:F5"/>
    <mergeCell ref="E3:E5"/>
    <mergeCell ref="G3:G5"/>
    <mergeCell ref="J9:K12"/>
    <mergeCell ref="T9:U12"/>
    <mergeCell ref="A8:A10"/>
    <mergeCell ref="L4:M4"/>
    <mergeCell ref="P17:Q17"/>
    <mergeCell ref="P19:Q19"/>
    <mergeCell ref="P20:Q20"/>
    <mergeCell ref="J27:K27"/>
    <mergeCell ref="T13:U13"/>
    <mergeCell ref="P35:Q35"/>
    <mergeCell ref="P33:Q33"/>
    <mergeCell ref="R17:S17"/>
    <mergeCell ref="R19:S19"/>
    <mergeCell ref="R20:S20"/>
    <mergeCell ref="R27:S27"/>
    <mergeCell ref="R35:S35"/>
    <mergeCell ref="L37:M37"/>
    <mergeCell ref="P30:Q30"/>
    <mergeCell ref="R30:S30"/>
    <mergeCell ref="R33:S33"/>
    <mergeCell ref="P29:Q29"/>
    <mergeCell ref="R29:S29"/>
    <mergeCell ref="R32:S32"/>
    <mergeCell ref="T20:U20"/>
    <mergeCell ref="T32:U32"/>
    <mergeCell ref="T35:U35"/>
    <mergeCell ref="R18:S18"/>
    <mergeCell ref="T18:U18"/>
    <mergeCell ref="T27:U27"/>
    <mergeCell ref="L20:M20"/>
    <mergeCell ref="L27:M27"/>
    <mergeCell ref="L18:M18"/>
    <mergeCell ref="L38:M38"/>
    <mergeCell ref="P37:Q37"/>
    <mergeCell ref="P38:Q38"/>
    <mergeCell ref="T37:U37"/>
    <mergeCell ref="H38:I38"/>
    <mergeCell ref="J38:K38"/>
    <mergeCell ref="T38:U38"/>
    <mergeCell ref="H37:I37"/>
    <mergeCell ref="J37:K37"/>
    <mergeCell ref="B53:B54"/>
    <mergeCell ref="C53:C54"/>
    <mergeCell ref="L41:M41"/>
    <mergeCell ref="L45:M45"/>
    <mergeCell ref="L47:M47"/>
    <mergeCell ref="L84:M84"/>
    <mergeCell ref="T84:U84"/>
    <mergeCell ref="T45:U45"/>
    <mergeCell ref="H47:I47"/>
    <mergeCell ref="J47:K47"/>
    <mergeCell ref="T47:U47"/>
    <mergeCell ref="H46:I46"/>
    <mergeCell ref="J46:K46"/>
    <mergeCell ref="L46:M46"/>
    <mergeCell ref="N46:O46"/>
    <mergeCell ref="P46:Q46"/>
    <mergeCell ref="R46:S46"/>
    <mergeCell ref="T46:U46"/>
    <mergeCell ref="P41:Q41"/>
    <mergeCell ref="P45:Q45"/>
    <mergeCell ref="P47:Q47"/>
    <mergeCell ref="P84:Q84"/>
    <mergeCell ref="T41:U41"/>
    <mergeCell ref="E72:E73"/>
    <mergeCell ref="H103:I103"/>
    <mergeCell ref="J103:K103"/>
    <mergeCell ref="T103:U103"/>
    <mergeCell ref="L109:M109"/>
    <mergeCell ref="P101:Q101"/>
    <mergeCell ref="P99:Q99"/>
    <mergeCell ref="R99:S99"/>
    <mergeCell ref="N103:O103"/>
    <mergeCell ref="N100:O100"/>
    <mergeCell ref="N101:O101"/>
    <mergeCell ref="P103:Q103"/>
    <mergeCell ref="N99:O99"/>
    <mergeCell ref="L103:M103"/>
    <mergeCell ref="P100:Q100"/>
    <mergeCell ref="P102:Q102"/>
    <mergeCell ref="R103:S103"/>
    <mergeCell ref="R102:S102"/>
    <mergeCell ref="L101:M101"/>
    <mergeCell ref="L102:M102"/>
    <mergeCell ref="N102:O102"/>
    <mergeCell ref="T89:U89"/>
    <mergeCell ref="L89:M89"/>
    <mergeCell ref="N27:O27"/>
    <mergeCell ref="N32:O32"/>
    <mergeCell ref="N35:O35"/>
    <mergeCell ref="N47:O47"/>
    <mergeCell ref="N84:O84"/>
    <mergeCell ref="N37:O37"/>
    <mergeCell ref="N38:O38"/>
    <mergeCell ref="N41:O41"/>
    <mergeCell ref="N45:O45"/>
    <mergeCell ref="N89:O89"/>
    <mergeCell ref="P89:Q89"/>
    <mergeCell ref="R89:S89"/>
    <mergeCell ref="R37:S37"/>
    <mergeCell ref="R38:S38"/>
    <mergeCell ref="R41:S41"/>
    <mergeCell ref="R45:S45"/>
    <mergeCell ref="R47:S47"/>
    <mergeCell ref="R84:S84"/>
    <mergeCell ref="R72:R73"/>
    <mergeCell ref="S72:S73"/>
    <mergeCell ref="T72:T73"/>
    <mergeCell ref="U72:U73"/>
    <mergeCell ref="T91:U91"/>
    <mergeCell ref="H90:I90"/>
    <mergeCell ref="N93:O93"/>
    <mergeCell ref="R93:S93"/>
    <mergeCell ref="R94:S94"/>
    <mergeCell ref="R95:S95"/>
    <mergeCell ref="R96:S96"/>
    <mergeCell ref="R100:S100"/>
    <mergeCell ref="R101:S101"/>
    <mergeCell ref="R90:S90"/>
    <mergeCell ref="R91:S91"/>
    <mergeCell ref="T96:U96"/>
    <mergeCell ref="T95:U95"/>
    <mergeCell ref="T93:U93"/>
    <mergeCell ref="T94:U94"/>
    <mergeCell ref="J90:K90"/>
    <mergeCell ref="T90:U90"/>
    <mergeCell ref="L90:M90"/>
    <mergeCell ref="L93:M93"/>
    <mergeCell ref="N90:O90"/>
    <mergeCell ref="N91:O91"/>
    <mergeCell ref="P96:Q96"/>
    <mergeCell ref="L91:M91"/>
    <mergeCell ref="P90:Q90"/>
    <mergeCell ref="T111:U111"/>
    <mergeCell ref="R109:S109"/>
    <mergeCell ref="H99:I99"/>
    <mergeCell ref="J99:K99"/>
    <mergeCell ref="J119:K119"/>
    <mergeCell ref="H109:I109"/>
    <mergeCell ref="J109:K109"/>
    <mergeCell ref="H112:I112"/>
    <mergeCell ref="J112:K112"/>
    <mergeCell ref="P111:Q111"/>
    <mergeCell ref="N111:O111"/>
    <mergeCell ref="H111:I111"/>
    <mergeCell ref="J111:K111"/>
    <mergeCell ref="H117:I117"/>
    <mergeCell ref="L111:M111"/>
    <mergeCell ref="L112:M112"/>
    <mergeCell ref="N109:O109"/>
    <mergeCell ref="P109:Q109"/>
    <mergeCell ref="N118:O118"/>
    <mergeCell ref="P118:Q118"/>
    <mergeCell ref="R111:S111"/>
    <mergeCell ref="L99:M99"/>
    <mergeCell ref="T99:U99"/>
    <mergeCell ref="T109:U109"/>
    <mergeCell ref="A118:A120"/>
    <mergeCell ref="J117:K117"/>
    <mergeCell ref="B118:B120"/>
    <mergeCell ref="C118:C120"/>
    <mergeCell ref="D118:D120"/>
    <mergeCell ref="H120:I120"/>
    <mergeCell ref="J120:K120"/>
    <mergeCell ref="B116:U116"/>
    <mergeCell ref="P112:Q112"/>
    <mergeCell ref="R112:S112"/>
    <mergeCell ref="N112:O112"/>
    <mergeCell ref="T112:U112"/>
    <mergeCell ref="L117:M117"/>
    <mergeCell ref="N117:O117"/>
    <mergeCell ref="P117:Q117"/>
    <mergeCell ref="R117:S117"/>
    <mergeCell ref="T117:U117"/>
    <mergeCell ref="H118:I118"/>
    <mergeCell ref="J118:K118"/>
    <mergeCell ref="L118:M118"/>
    <mergeCell ref="R118:S118"/>
    <mergeCell ref="T118:U118"/>
    <mergeCell ref="H115:I115"/>
    <mergeCell ref="J115:K115"/>
    <mergeCell ref="H33:I33"/>
    <mergeCell ref="J33:K33"/>
    <mergeCell ref="P8:Q8"/>
    <mergeCell ref="R8:S8"/>
    <mergeCell ref="T8:U8"/>
    <mergeCell ref="L120:M120"/>
    <mergeCell ref="N120:O120"/>
    <mergeCell ref="P120:Q120"/>
    <mergeCell ref="R120:S120"/>
    <mergeCell ref="T120:U120"/>
    <mergeCell ref="L119:M119"/>
    <mergeCell ref="N119:O119"/>
    <mergeCell ref="P119:Q119"/>
    <mergeCell ref="R119:S119"/>
    <mergeCell ref="T119:U119"/>
    <mergeCell ref="L15:M15"/>
    <mergeCell ref="N15:O15"/>
    <mergeCell ref="P15:Q15"/>
    <mergeCell ref="R15:S15"/>
    <mergeCell ref="T15:U15"/>
    <mergeCell ref="L33:M33"/>
    <mergeCell ref="N33:O33"/>
    <mergeCell ref="T33:U33"/>
    <mergeCell ref="H119:I119"/>
    <mergeCell ref="B62:B67"/>
    <mergeCell ref="A62:A67"/>
    <mergeCell ref="C62:C67"/>
    <mergeCell ref="B82:B83"/>
    <mergeCell ref="C82:C83"/>
    <mergeCell ref="A70:A73"/>
    <mergeCell ref="B70:B73"/>
    <mergeCell ref="C70:C73"/>
    <mergeCell ref="D62:D66"/>
    <mergeCell ref="A68:A69"/>
    <mergeCell ref="B68:B69"/>
    <mergeCell ref="C68:C69"/>
    <mergeCell ref="D68:D69"/>
    <mergeCell ref="D72:D73"/>
    <mergeCell ref="N72:N73"/>
    <mergeCell ref="O72:O73"/>
    <mergeCell ref="P72:P73"/>
    <mergeCell ref="Q72:Q73"/>
    <mergeCell ref="A82:A83"/>
    <mergeCell ref="I72:I73"/>
    <mergeCell ref="J72:J73"/>
    <mergeCell ref="K72:K73"/>
    <mergeCell ref="L72:L73"/>
    <mergeCell ref="M72:M73"/>
    <mergeCell ref="F72:F73"/>
    <mergeCell ref="G72:G73"/>
    <mergeCell ref="H72:H73"/>
  </mergeCells>
  <printOptions horizontalCentered="1"/>
  <pageMargins left="0.19685039370078741" right="0.19685039370078741" top="0.98425196850393704" bottom="0.39370078740157483" header="0.11811023622047245" footer="0.11811023622047245"/>
  <pageSetup paperSize="9" scale="27" fitToHeight="0" orientation="landscape" r:id="rId1"/>
  <headerFooter>
    <oddFooter>Страница  &amp;P из &amp;N</oddFooter>
  </headerFooter>
  <rowBreaks count="1" manualBreakCount="1">
    <brk id="36"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0"/>
  <sheetViews>
    <sheetView view="pageBreakPreview" zoomScale="50" zoomScaleSheetLayoutView="50" workbookViewId="0">
      <pane xSplit="1" ySplit="4" topLeftCell="B5" activePane="bottomRight" state="frozen"/>
      <selection pane="topRight" activeCell="B1" sqref="B1"/>
      <selection pane="bottomLeft" activeCell="A4" sqref="A4"/>
      <selection pane="bottomRight" activeCell="AF108" sqref="AF108"/>
    </sheetView>
  </sheetViews>
  <sheetFormatPr defaultColWidth="9.140625" defaultRowHeight="18.75" x14ac:dyDescent="0.25"/>
  <cols>
    <col min="1" max="1" width="8.5703125" style="2" customWidth="1"/>
    <col min="2" max="2" width="99" style="1" customWidth="1"/>
    <col min="3" max="3" width="51" style="1" hidden="1" customWidth="1"/>
    <col min="4" max="4" width="24" style="1" hidden="1" customWidth="1"/>
    <col min="5" max="5" width="39" style="1" hidden="1" customWidth="1"/>
    <col min="6" max="6" width="45.28515625" style="1" hidden="1" customWidth="1"/>
    <col min="7" max="7" width="34.140625" style="2" customWidth="1"/>
    <col min="8" max="8" width="13" style="55" customWidth="1"/>
    <col min="9" max="9" width="14" style="55" customWidth="1"/>
    <col min="10" max="10" width="14.85546875" style="55" customWidth="1"/>
    <col min="11" max="11" width="13.7109375" style="55" customWidth="1"/>
    <col min="12" max="12" width="14.28515625" style="55" customWidth="1"/>
    <col min="13" max="13" width="14" style="55" customWidth="1"/>
    <col min="14" max="14" width="14.28515625" style="55" customWidth="1"/>
    <col min="15" max="15" width="13.5703125" style="55" customWidth="1"/>
    <col min="16" max="16" width="13.5703125" style="2" hidden="1" customWidth="1"/>
    <col min="17" max="17" width="9.140625" style="2" hidden="1" customWidth="1"/>
    <col min="18" max="22" width="0" style="2" hidden="1" customWidth="1"/>
    <col min="23" max="25" width="9.140625" style="2"/>
    <col min="26" max="27" width="15.140625" style="2" customWidth="1"/>
    <col min="28" max="28" width="13.42578125" style="2" customWidth="1"/>
    <col min="29" max="29" width="12.85546875" style="2" customWidth="1"/>
    <col min="30" max="30" width="11.140625" style="2" customWidth="1"/>
    <col min="31" max="31" width="11.42578125" style="2" customWidth="1"/>
    <col min="32" max="32" width="12.5703125" style="2" customWidth="1"/>
    <col min="33" max="33" width="15.140625" style="2" customWidth="1"/>
    <col min="34" max="16384" width="9.140625" style="2"/>
  </cols>
  <sheetData>
    <row r="1" spans="1:33" ht="133.5" customHeight="1" x14ac:dyDescent="0.25">
      <c r="G1" s="255" t="s">
        <v>296</v>
      </c>
      <c r="H1" s="255"/>
      <c r="I1" s="255"/>
      <c r="J1" s="255"/>
      <c r="K1" s="255"/>
      <c r="L1" s="255"/>
      <c r="M1" s="255"/>
      <c r="N1" s="255"/>
      <c r="O1" s="255"/>
      <c r="P1" s="28"/>
    </row>
    <row r="2" spans="1:33" ht="30" customHeight="1" x14ac:dyDescent="0.25">
      <c r="A2" s="256" t="s">
        <v>107</v>
      </c>
      <c r="B2" s="256"/>
      <c r="C2" s="256"/>
      <c r="D2" s="256"/>
      <c r="E2" s="256"/>
      <c r="F2" s="257"/>
      <c r="G2" s="256"/>
      <c r="H2" s="256"/>
      <c r="I2" s="256"/>
      <c r="J2" s="256"/>
      <c r="K2" s="256"/>
      <c r="L2" s="256"/>
      <c r="M2" s="256"/>
      <c r="N2" s="256"/>
      <c r="O2" s="256"/>
      <c r="P2" s="91"/>
      <c r="Q2" s="3"/>
      <c r="R2" s="3"/>
      <c r="S2" s="3"/>
      <c r="T2" s="3"/>
      <c r="U2" s="3"/>
      <c r="V2" s="3"/>
    </row>
    <row r="3" spans="1:33" s="3" customFormat="1" ht="18.75" customHeight="1" x14ac:dyDescent="0.25">
      <c r="A3" s="313" t="s">
        <v>1</v>
      </c>
      <c r="B3" s="313" t="s">
        <v>359</v>
      </c>
      <c r="C3" s="313" t="s">
        <v>240</v>
      </c>
      <c r="D3" s="313" t="s">
        <v>13</v>
      </c>
      <c r="E3" s="316" t="s">
        <v>294</v>
      </c>
      <c r="F3" s="313" t="s">
        <v>184</v>
      </c>
      <c r="G3" s="319" t="s">
        <v>89</v>
      </c>
      <c r="H3" s="322" t="s">
        <v>90</v>
      </c>
      <c r="I3" s="323"/>
      <c r="J3" s="323"/>
      <c r="K3" s="323"/>
      <c r="L3" s="323"/>
      <c r="M3" s="323"/>
      <c r="N3" s="323"/>
      <c r="O3" s="324"/>
      <c r="P3" s="91"/>
    </row>
    <row r="4" spans="1:33" s="3" customFormat="1" ht="77.25" customHeight="1" x14ac:dyDescent="0.25">
      <c r="A4" s="314"/>
      <c r="B4" s="314"/>
      <c r="C4" s="314"/>
      <c r="D4" s="314"/>
      <c r="E4" s="317"/>
      <c r="F4" s="314"/>
      <c r="G4" s="320"/>
      <c r="H4" s="293" t="s">
        <v>14</v>
      </c>
      <c r="I4" s="293"/>
      <c r="J4" s="285" t="s">
        <v>15</v>
      </c>
      <c r="K4" s="286"/>
      <c r="L4" s="285" t="s">
        <v>16</v>
      </c>
      <c r="M4" s="286"/>
      <c r="N4" s="285" t="s">
        <v>17</v>
      </c>
      <c r="O4" s="286"/>
      <c r="P4" s="30"/>
      <c r="Z4" s="293" t="s">
        <v>14</v>
      </c>
      <c r="AA4" s="293"/>
      <c r="AB4" s="285" t="s">
        <v>15</v>
      </c>
      <c r="AC4" s="286"/>
      <c r="AD4" s="285" t="s">
        <v>16</v>
      </c>
      <c r="AE4" s="286"/>
      <c r="AF4" s="285" t="s">
        <v>17</v>
      </c>
      <c r="AG4" s="286"/>
    </row>
    <row r="5" spans="1:33" s="3" customFormat="1" ht="57.75" customHeight="1" x14ac:dyDescent="0.25">
      <c r="A5" s="315"/>
      <c r="B5" s="315"/>
      <c r="C5" s="315"/>
      <c r="D5" s="315"/>
      <c r="E5" s="318"/>
      <c r="F5" s="315"/>
      <c r="G5" s="321"/>
      <c r="H5" s="97" t="s">
        <v>123</v>
      </c>
      <c r="I5" s="98" t="s">
        <v>329</v>
      </c>
      <c r="J5" s="97" t="s">
        <v>123</v>
      </c>
      <c r="K5" s="98" t="s">
        <v>329</v>
      </c>
      <c r="L5" s="97" t="s">
        <v>123</v>
      </c>
      <c r="M5" s="98" t="s">
        <v>329</v>
      </c>
      <c r="N5" s="97" t="s">
        <v>123</v>
      </c>
      <c r="O5" s="98" t="s">
        <v>329</v>
      </c>
      <c r="P5" s="30"/>
      <c r="Z5" s="97" t="s">
        <v>123</v>
      </c>
      <c r="AA5" s="98" t="s">
        <v>329</v>
      </c>
      <c r="AB5" s="97" t="s">
        <v>123</v>
      </c>
      <c r="AC5" s="98" t="s">
        <v>329</v>
      </c>
      <c r="AD5" s="97" t="s">
        <v>123</v>
      </c>
      <c r="AE5" s="98" t="s">
        <v>329</v>
      </c>
      <c r="AF5" s="97" t="s">
        <v>123</v>
      </c>
      <c r="AG5" s="98" t="s">
        <v>329</v>
      </c>
    </row>
    <row r="6" spans="1:33" s="5" customFormat="1" ht="20.25" hidden="1" customHeight="1" x14ac:dyDescent="0.25">
      <c r="A6" s="99" t="s">
        <v>2</v>
      </c>
      <c r="B6" s="100" t="s">
        <v>4</v>
      </c>
      <c r="C6" s="101"/>
      <c r="D6" s="101"/>
      <c r="E6" s="102"/>
      <c r="F6" s="103"/>
      <c r="G6" s="104" t="s">
        <v>93</v>
      </c>
      <c r="H6" s="105">
        <v>14881</v>
      </c>
      <c r="I6" s="105">
        <v>377</v>
      </c>
      <c r="J6" s="105">
        <v>4346</v>
      </c>
      <c r="K6" s="105">
        <v>0</v>
      </c>
      <c r="L6" s="105">
        <v>5966</v>
      </c>
      <c r="M6" s="105">
        <v>0</v>
      </c>
      <c r="N6" s="105">
        <v>25192</v>
      </c>
      <c r="O6" s="105">
        <v>377</v>
      </c>
      <c r="P6" s="31"/>
      <c r="Q6" s="24"/>
      <c r="R6" s="24"/>
      <c r="S6" s="24"/>
      <c r="T6" s="24"/>
      <c r="U6" s="24"/>
      <c r="V6" s="24"/>
      <c r="Z6" s="105">
        <v>14881</v>
      </c>
      <c r="AA6" s="105">
        <v>377</v>
      </c>
      <c r="AB6" s="105">
        <v>4346</v>
      </c>
      <c r="AC6" s="105">
        <v>0</v>
      </c>
      <c r="AD6" s="105">
        <v>5966</v>
      </c>
      <c r="AE6" s="105">
        <v>0</v>
      </c>
      <c r="AF6" s="105">
        <v>25192</v>
      </c>
      <c r="AG6" s="105">
        <v>377</v>
      </c>
    </row>
    <row r="7" spans="1:33" s="7" customFormat="1" ht="66.75" hidden="1" customHeight="1" x14ac:dyDescent="0.25">
      <c r="A7" s="107" t="s">
        <v>0</v>
      </c>
      <c r="B7" s="108" t="s">
        <v>62</v>
      </c>
      <c r="C7" s="109"/>
      <c r="D7" s="110" t="s">
        <v>95</v>
      </c>
      <c r="E7" s="111"/>
      <c r="F7" s="111"/>
      <c r="G7" s="96" t="s">
        <v>93</v>
      </c>
      <c r="H7" s="112">
        <f>H8</f>
        <v>2100</v>
      </c>
      <c r="I7" s="112">
        <f t="shared" ref="I7:O7" si="0">I8</f>
        <v>0</v>
      </c>
      <c r="J7" s="112">
        <f t="shared" si="0"/>
        <v>2100</v>
      </c>
      <c r="K7" s="112">
        <f t="shared" si="0"/>
        <v>0</v>
      </c>
      <c r="L7" s="112">
        <f t="shared" si="0"/>
        <v>2100</v>
      </c>
      <c r="M7" s="112">
        <f t="shared" si="0"/>
        <v>0</v>
      </c>
      <c r="N7" s="112">
        <f t="shared" si="0"/>
        <v>6300</v>
      </c>
      <c r="O7" s="112">
        <f t="shared" si="0"/>
        <v>0</v>
      </c>
      <c r="P7" s="32"/>
      <c r="Q7" s="6"/>
      <c r="R7" s="6"/>
      <c r="S7" s="6"/>
      <c r="T7" s="6"/>
      <c r="U7" s="6"/>
      <c r="V7" s="6"/>
      <c r="Z7" s="112">
        <f>Z8</f>
        <v>2100</v>
      </c>
      <c r="AA7" s="112">
        <f t="shared" ref="AA7:AG7" si="1">AA8</f>
        <v>0</v>
      </c>
      <c r="AB7" s="112">
        <f t="shared" si="1"/>
        <v>2100</v>
      </c>
      <c r="AC7" s="112">
        <f t="shared" si="1"/>
        <v>0</v>
      </c>
      <c r="AD7" s="112">
        <f t="shared" si="1"/>
        <v>2100</v>
      </c>
      <c r="AE7" s="112">
        <f t="shared" si="1"/>
        <v>0</v>
      </c>
      <c r="AF7" s="112">
        <f t="shared" si="1"/>
        <v>6300</v>
      </c>
      <c r="AG7" s="112">
        <f t="shared" si="1"/>
        <v>0</v>
      </c>
    </row>
    <row r="8" spans="1:33" s="12" customFormat="1" ht="216.75" hidden="1" customHeight="1" x14ac:dyDescent="0.25">
      <c r="A8" s="307" t="s">
        <v>7</v>
      </c>
      <c r="B8" s="94" t="s">
        <v>96</v>
      </c>
      <c r="C8" s="110" t="s">
        <v>347</v>
      </c>
      <c r="D8" s="110" t="s">
        <v>95</v>
      </c>
      <c r="E8" s="110" t="s">
        <v>193</v>
      </c>
      <c r="F8" s="110" t="s">
        <v>108</v>
      </c>
      <c r="G8" s="96" t="s">
        <v>93</v>
      </c>
      <c r="H8" s="98">
        <v>2100</v>
      </c>
      <c r="I8" s="98">
        <v>0</v>
      </c>
      <c r="J8" s="98">
        <v>2100</v>
      </c>
      <c r="K8" s="98">
        <v>0</v>
      </c>
      <c r="L8" s="98">
        <v>2100</v>
      </c>
      <c r="M8" s="98">
        <v>0</v>
      </c>
      <c r="N8" s="98">
        <f>H8+J8+L8</f>
        <v>6300</v>
      </c>
      <c r="O8" s="98">
        <f>I8+K8+M8</f>
        <v>0</v>
      </c>
      <c r="P8" s="33"/>
      <c r="Q8" s="11"/>
      <c r="R8" s="11"/>
      <c r="S8" s="11"/>
      <c r="T8" s="11"/>
      <c r="U8" s="11"/>
      <c r="V8" s="11"/>
      <c r="Z8" s="98">
        <v>2100</v>
      </c>
      <c r="AA8" s="98">
        <v>0</v>
      </c>
      <c r="AB8" s="98">
        <v>2100</v>
      </c>
      <c r="AC8" s="98">
        <v>0</v>
      </c>
      <c r="AD8" s="98">
        <v>2100</v>
      </c>
      <c r="AE8" s="98">
        <v>0</v>
      </c>
      <c r="AF8" s="98">
        <f>Z8+AB8+AD8</f>
        <v>6300</v>
      </c>
      <c r="AG8" s="98">
        <f>AA8+AC8+AE8</f>
        <v>0</v>
      </c>
    </row>
    <row r="9" spans="1:33" s="12" customFormat="1" ht="105.75" hidden="1" customHeight="1" x14ac:dyDescent="0.25">
      <c r="A9" s="311"/>
      <c r="B9" s="94" t="s">
        <v>99</v>
      </c>
      <c r="C9" s="110" t="s">
        <v>83</v>
      </c>
      <c r="D9" s="110" t="s">
        <v>95</v>
      </c>
      <c r="E9" s="309" t="s">
        <v>192</v>
      </c>
      <c r="F9" s="110" t="s">
        <v>191</v>
      </c>
      <c r="G9" s="96" t="s">
        <v>93</v>
      </c>
      <c r="H9" s="294" t="s">
        <v>91</v>
      </c>
      <c r="I9" s="295"/>
      <c r="J9" s="294" t="s">
        <v>91</v>
      </c>
      <c r="K9" s="295" t="s">
        <v>91</v>
      </c>
      <c r="L9" s="294" t="s">
        <v>91</v>
      </c>
      <c r="M9" s="295" t="s">
        <v>91</v>
      </c>
      <c r="N9" s="294" t="s">
        <v>91</v>
      </c>
      <c r="O9" s="295" t="s">
        <v>91</v>
      </c>
      <c r="P9" s="33"/>
      <c r="Q9" s="11"/>
      <c r="R9" s="11"/>
      <c r="S9" s="11"/>
      <c r="T9" s="11"/>
      <c r="U9" s="11"/>
      <c r="V9" s="11"/>
      <c r="Z9" s="294" t="s">
        <v>91</v>
      </c>
      <c r="AA9" s="295"/>
      <c r="AB9" s="294" t="s">
        <v>91</v>
      </c>
      <c r="AC9" s="295" t="s">
        <v>91</v>
      </c>
      <c r="AD9" s="294" t="s">
        <v>91</v>
      </c>
      <c r="AE9" s="295" t="s">
        <v>91</v>
      </c>
      <c r="AF9" s="294" t="s">
        <v>91</v>
      </c>
      <c r="AG9" s="295" t="s">
        <v>91</v>
      </c>
    </row>
    <row r="10" spans="1:33" s="12" customFormat="1" ht="78.75" hidden="1" customHeight="1" x14ac:dyDescent="0.25">
      <c r="A10" s="308"/>
      <c r="B10" s="94" t="s">
        <v>66</v>
      </c>
      <c r="C10" s="110" t="s">
        <v>83</v>
      </c>
      <c r="D10" s="110" t="s">
        <v>95</v>
      </c>
      <c r="E10" s="312"/>
      <c r="F10" s="110" t="s">
        <v>186</v>
      </c>
      <c r="G10" s="96" t="s">
        <v>93</v>
      </c>
      <c r="H10" s="296"/>
      <c r="I10" s="297"/>
      <c r="J10" s="296"/>
      <c r="K10" s="297"/>
      <c r="L10" s="296"/>
      <c r="M10" s="297"/>
      <c r="N10" s="296"/>
      <c r="O10" s="297"/>
      <c r="P10" s="33"/>
      <c r="Q10" s="11"/>
      <c r="R10" s="11"/>
      <c r="S10" s="11"/>
      <c r="T10" s="11"/>
      <c r="U10" s="11"/>
      <c r="V10" s="11"/>
      <c r="Z10" s="296"/>
      <c r="AA10" s="297"/>
      <c r="AB10" s="296"/>
      <c r="AC10" s="297"/>
      <c r="AD10" s="296"/>
      <c r="AE10" s="297"/>
      <c r="AF10" s="296"/>
      <c r="AG10" s="297"/>
    </row>
    <row r="11" spans="1:33" s="12" customFormat="1" ht="137.25" hidden="1" customHeight="1" x14ac:dyDescent="0.25">
      <c r="A11" s="95" t="s">
        <v>12</v>
      </c>
      <c r="B11" s="94" t="s">
        <v>100</v>
      </c>
      <c r="C11" s="110" t="s">
        <v>83</v>
      </c>
      <c r="D11" s="110" t="s">
        <v>95</v>
      </c>
      <c r="E11" s="312"/>
      <c r="F11" s="110" t="s">
        <v>185</v>
      </c>
      <c r="G11" s="96" t="s">
        <v>93</v>
      </c>
      <c r="H11" s="296"/>
      <c r="I11" s="297"/>
      <c r="J11" s="296"/>
      <c r="K11" s="297"/>
      <c r="L11" s="296"/>
      <c r="M11" s="297"/>
      <c r="N11" s="296"/>
      <c r="O11" s="297"/>
      <c r="P11" s="33"/>
      <c r="Q11" s="11"/>
      <c r="R11" s="11"/>
      <c r="S11" s="11"/>
      <c r="T11" s="11"/>
      <c r="U11" s="11"/>
      <c r="V11" s="11"/>
      <c r="Z11" s="296"/>
      <c r="AA11" s="297"/>
      <c r="AB11" s="296"/>
      <c r="AC11" s="297"/>
      <c r="AD11" s="296"/>
      <c r="AE11" s="297"/>
      <c r="AF11" s="296"/>
      <c r="AG11" s="297"/>
    </row>
    <row r="12" spans="1:33" s="12" customFormat="1" ht="25.5" hidden="1" customHeight="1" x14ac:dyDescent="0.25">
      <c r="A12" s="95" t="s">
        <v>26</v>
      </c>
      <c r="B12" s="94" t="s">
        <v>63</v>
      </c>
      <c r="C12" s="110" t="s">
        <v>83</v>
      </c>
      <c r="D12" s="110" t="s">
        <v>95</v>
      </c>
      <c r="E12" s="310"/>
      <c r="F12" s="110" t="s">
        <v>187</v>
      </c>
      <c r="G12" s="96" t="s">
        <v>93</v>
      </c>
      <c r="H12" s="298"/>
      <c r="I12" s="299"/>
      <c r="J12" s="298"/>
      <c r="K12" s="299"/>
      <c r="L12" s="298"/>
      <c r="M12" s="299"/>
      <c r="N12" s="298"/>
      <c r="O12" s="299"/>
      <c r="P12" s="33"/>
      <c r="Q12" s="11"/>
      <c r="R12" s="11"/>
      <c r="S12" s="11"/>
      <c r="T12" s="11"/>
      <c r="U12" s="11"/>
      <c r="V12" s="11"/>
      <c r="Z12" s="298"/>
      <c r="AA12" s="299"/>
      <c r="AB12" s="298"/>
      <c r="AC12" s="299"/>
      <c r="AD12" s="298"/>
      <c r="AE12" s="299"/>
      <c r="AF12" s="298"/>
      <c r="AG12" s="299"/>
    </row>
    <row r="13" spans="1:33" s="12" customFormat="1" ht="51.75" hidden="1" customHeight="1" x14ac:dyDescent="0.25">
      <c r="A13" s="113" t="s">
        <v>30</v>
      </c>
      <c r="B13" s="114" t="s">
        <v>64</v>
      </c>
      <c r="C13" s="115"/>
      <c r="D13" s="110" t="s">
        <v>95</v>
      </c>
      <c r="E13" s="116"/>
      <c r="F13" s="116"/>
      <c r="G13" s="96" t="s">
        <v>93</v>
      </c>
      <c r="H13" s="112">
        <f>H14</f>
        <v>300</v>
      </c>
      <c r="I13" s="112">
        <f t="shared" ref="I13:O13" si="2">I14</f>
        <v>0</v>
      </c>
      <c r="J13" s="112">
        <f t="shared" si="2"/>
        <v>300</v>
      </c>
      <c r="K13" s="112">
        <f t="shared" si="2"/>
        <v>0</v>
      </c>
      <c r="L13" s="112">
        <f t="shared" si="2"/>
        <v>300</v>
      </c>
      <c r="M13" s="112">
        <f t="shared" si="2"/>
        <v>0</v>
      </c>
      <c r="N13" s="112">
        <f t="shared" si="2"/>
        <v>900</v>
      </c>
      <c r="O13" s="112">
        <f t="shared" si="2"/>
        <v>0</v>
      </c>
      <c r="P13" s="34"/>
      <c r="Q13" s="11"/>
      <c r="R13" s="11"/>
      <c r="S13" s="11"/>
      <c r="T13" s="11"/>
      <c r="U13" s="11"/>
      <c r="V13" s="11"/>
      <c r="Z13" s="112">
        <f>Z14</f>
        <v>300</v>
      </c>
      <c r="AA13" s="112">
        <f t="shared" ref="AA13:AG13" si="3">AA14</f>
        <v>0</v>
      </c>
      <c r="AB13" s="112">
        <f t="shared" si="3"/>
        <v>300</v>
      </c>
      <c r="AC13" s="112">
        <f t="shared" si="3"/>
        <v>0</v>
      </c>
      <c r="AD13" s="112">
        <f t="shared" si="3"/>
        <v>300</v>
      </c>
      <c r="AE13" s="112">
        <f t="shared" si="3"/>
        <v>0</v>
      </c>
      <c r="AF13" s="112">
        <f t="shared" si="3"/>
        <v>900</v>
      </c>
      <c r="AG13" s="112">
        <f t="shared" si="3"/>
        <v>0</v>
      </c>
    </row>
    <row r="14" spans="1:33" s="12" customFormat="1" ht="90" hidden="1" customHeight="1" x14ac:dyDescent="0.25">
      <c r="A14" s="117" t="s">
        <v>31</v>
      </c>
      <c r="B14" s="110" t="s">
        <v>65</v>
      </c>
      <c r="C14" s="110" t="s">
        <v>84</v>
      </c>
      <c r="D14" s="110" t="s">
        <v>95</v>
      </c>
      <c r="E14" s="110" t="s">
        <v>194</v>
      </c>
      <c r="F14" s="110" t="s">
        <v>108</v>
      </c>
      <c r="G14" s="96" t="s">
        <v>93</v>
      </c>
      <c r="H14" s="98">
        <v>300</v>
      </c>
      <c r="I14" s="98">
        <v>0</v>
      </c>
      <c r="J14" s="98">
        <v>300</v>
      </c>
      <c r="K14" s="98">
        <v>0</v>
      </c>
      <c r="L14" s="98">
        <v>300</v>
      </c>
      <c r="M14" s="98">
        <v>0</v>
      </c>
      <c r="N14" s="98">
        <f>H14+J14+L14</f>
        <v>900</v>
      </c>
      <c r="O14" s="98">
        <f>I14+K14+M14</f>
        <v>0</v>
      </c>
      <c r="P14" s="33"/>
      <c r="Q14" s="11"/>
      <c r="R14" s="11"/>
      <c r="S14" s="11"/>
      <c r="T14" s="11"/>
      <c r="U14" s="11"/>
      <c r="V14" s="11"/>
      <c r="Z14" s="98">
        <v>300</v>
      </c>
      <c r="AA14" s="98">
        <v>0</v>
      </c>
      <c r="AB14" s="98">
        <v>300</v>
      </c>
      <c r="AC14" s="98">
        <v>0</v>
      </c>
      <c r="AD14" s="98">
        <v>300</v>
      </c>
      <c r="AE14" s="98">
        <v>0</v>
      </c>
      <c r="AF14" s="98">
        <f>Z14+AB14+AD14</f>
        <v>900</v>
      </c>
      <c r="AG14" s="98">
        <f>AA14+AC14+AE14</f>
        <v>0</v>
      </c>
    </row>
    <row r="15" spans="1:33" s="12" customFormat="1" ht="46.5" hidden="1" x14ac:dyDescent="0.25">
      <c r="A15" s="113" t="s">
        <v>42</v>
      </c>
      <c r="B15" s="114" t="s">
        <v>79</v>
      </c>
      <c r="C15" s="115"/>
      <c r="D15" s="110" t="s">
        <v>95</v>
      </c>
      <c r="E15" s="116"/>
      <c r="F15" s="116"/>
      <c r="G15" s="96" t="s">
        <v>93</v>
      </c>
      <c r="H15" s="112">
        <f>H17+H20</f>
        <v>715</v>
      </c>
      <c r="I15" s="112">
        <f t="shared" ref="I15:O15" si="4">I17+I20</f>
        <v>0</v>
      </c>
      <c r="J15" s="112">
        <f t="shared" si="4"/>
        <v>1060.5</v>
      </c>
      <c r="K15" s="112">
        <f t="shared" si="4"/>
        <v>0</v>
      </c>
      <c r="L15" s="112">
        <f t="shared" si="4"/>
        <v>2660.5</v>
      </c>
      <c r="M15" s="112">
        <f t="shared" si="4"/>
        <v>0</v>
      </c>
      <c r="N15" s="112">
        <f>H15+J15+L15</f>
        <v>4436</v>
      </c>
      <c r="O15" s="112">
        <f t="shared" si="4"/>
        <v>0</v>
      </c>
      <c r="P15" s="32"/>
      <c r="Q15" s="11"/>
      <c r="R15" s="11"/>
      <c r="S15" s="11"/>
      <c r="T15" s="11"/>
      <c r="U15" s="11"/>
      <c r="V15" s="11"/>
      <c r="Z15" s="112">
        <f t="shared" ref="Z15:AE15" si="5">Z17+Z20</f>
        <v>715</v>
      </c>
      <c r="AA15" s="112">
        <f t="shared" si="5"/>
        <v>0</v>
      </c>
      <c r="AB15" s="112">
        <f t="shared" si="5"/>
        <v>1060.5</v>
      </c>
      <c r="AC15" s="112">
        <f t="shared" si="5"/>
        <v>0</v>
      </c>
      <c r="AD15" s="112">
        <f t="shared" si="5"/>
        <v>2660.5</v>
      </c>
      <c r="AE15" s="112">
        <f t="shared" si="5"/>
        <v>0</v>
      </c>
      <c r="AF15" s="112">
        <f>Z15+AB15+AD15</f>
        <v>4436</v>
      </c>
      <c r="AG15" s="112">
        <f>AG17+AG20</f>
        <v>0</v>
      </c>
    </row>
    <row r="16" spans="1:33" s="12" customFormat="1" ht="163.5" hidden="1" customHeight="1" x14ac:dyDescent="0.25">
      <c r="A16" s="118" t="s">
        <v>44</v>
      </c>
      <c r="B16" s="110" t="s">
        <v>97</v>
      </c>
      <c r="C16" s="110" t="s">
        <v>85</v>
      </c>
      <c r="D16" s="110" t="s">
        <v>95</v>
      </c>
      <c r="E16" s="110" t="s">
        <v>195</v>
      </c>
      <c r="F16" s="110" t="s">
        <v>188</v>
      </c>
      <c r="G16" s="96" t="s">
        <v>93</v>
      </c>
      <c r="H16" s="285" t="s">
        <v>91</v>
      </c>
      <c r="I16" s="286"/>
      <c r="J16" s="285" t="s">
        <v>91</v>
      </c>
      <c r="K16" s="286"/>
      <c r="L16" s="285" t="s">
        <v>91</v>
      </c>
      <c r="M16" s="286"/>
      <c r="N16" s="285" t="s">
        <v>91</v>
      </c>
      <c r="O16" s="286"/>
      <c r="P16" s="33"/>
      <c r="Q16" s="11"/>
      <c r="R16" s="11"/>
      <c r="S16" s="11"/>
      <c r="T16" s="11"/>
      <c r="U16" s="11"/>
      <c r="V16" s="11"/>
      <c r="Z16" s="285" t="s">
        <v>91</v>
      </c>
      <c r="AA16" s="286"/>
      <c r="AB16" s="285" t="s">
        <v>91</v>
      </c>
      <c r="AC16" s="286"/>
      <c r="AD16" s="285" t="s">
        <v>91</v>
      </c>
      <c r="AE16" s="286"/>
      <c r="AF16" s="285" t="s">
        <v>91</v>
      </c>
      <c r="AG16" s="286"/>
    </row>
    <row r="17" spans="1:33" s="16" customFormat="1" ht="107.25" hidden="1" customHeight="1" x14ac:dyDescent="0.25">
      <c r="A17" s="95" t="s">
        <v>45</v>
      </c>
      <c r="B17" s="110" t="s">
        <v>101</v>
      </c>
      <c r="C17" s="110" t="s">
        <v>85</v>
      </c>
      <c r="D17" s="110" t="s">
        <v>95</v>
      </c>
      <c r="E17" s="110" t="s">
        <v>196</v>
      </c>
      <c r="F17" s="110" t="s">
        <v>108</v>
      </c>
      <c r="G17" s="96" t="s">
        <v>93</v>
      </c>
      <c r="H17" s="98">
        <v>150</v>
      </c>
      <c r="I17" s="98">
        <v>0</v>
      </c>
      <c r="J17" s="98">
        <v>150</v>
      </c>
      <c r="K17" s="98">
        <v>0</v>
      </c>
      <c r="L17" s="98">
        <v>150</v>
      </c>
      <c r="M17" s="98">
        <v>0</v>
      </c>
      <c r="N17" s="98">
        <f>H17+J17+L17</f>
        <v>450</v>
      </c>
      <c r="O17" s="98">
        <f>I17+K17+M17</f>
        <v>0</v>
      </c>
      <c r="P17" s="33"/>
      <c r="Q17" s="15"/>
      <c r="R17" s="15"/>
      <c r="S17" s="15"/>
      <c r="T17" s="15"/>
      <c r="U17" s="15"/>
      <c r="V17" s="15"/>
      <c r="Z17" s="98">
        <v>150</v>
      </c>
      <c r="AA17" s="98">
        <v>0</v>
      </c>
      <c r="AB17" s="98">
        <v>150</v>
      </c>
      <c r="AC17" s="98">
        <v>0</v>
      </c>
      <c r="AD17" s="98">
        <v>150</v>
      </c>
      <c r="AE17" s="98">
        <v>0</v>
      </c>
      <c r="AF17" s="98">
        <f>Z17+AB17+AD17</f>
        <v>450</v>
      </c>
      <c r="AG17" s="98">
        <f>AA17+AC17+AE17</f>
        <v>0</v>
      </c>
    </row>
    <row r="18" spans="1:33" s="16" customFormat="1" ht="79.5" hidden="1" customHeight="1" x14ac:dyDescent="0.25">
      <c r="A18" s="95" t="s">
        <v>46</v>
      </c>
      <c r="B18" s="94" t="s">
        <v>67</v>
      </c>
      <c r="C18" s="110" t="s">
        <v>85</v>
      </c>
      <c r="D18" s="110" t="s">
        <v>95</v>
      </c>
      <c r="E18" s="110" t="s">
        <v>197</v>
      </c>
      <c r="F18" s="110" t="s">
        <v>67</v>
      </c>
      <c r="G18" s="96" t="s">
        <v>93</v>
      </c>
      <c r="H18" s="289" t="s">
        <v>91</v>
      </c>
      <c r="I18" s="290"/>
      <c r="J18" s="289" t="s">
        <v>91</v>
      </c>
      <c r="K18" s="290"/>
      <c r="L18" s="289" t="s">
        <v>91</v>
      </c>
      <c r="M18" s="290"/>
      <c r="N18" s="289" t="s">
        <v>91</v>
      </c>
      <c r="O18" s="290"/>
      <c r="P18" s="35"/>
      <c r="Q18" s="15"/>
      <c r="R18" s="15"/>
      <c r="S18" s="15"/>
      <c r="T18" s="15"/>
      <c r="U18" s="15"/>
      <c r="V18" s="15"/>
      <c r="Z18" s="289" t="s">
        <v>91</v>
      </c>
      <c r="AA18" s="290"/>
      <c r="AB18" s="289" t="s">
        <v>91</v>
      </c>
      <c r="AC18" s="290"/>
      <c r="AD18" s="289" t="s">
        <v>91</v>
      </c>
      <c r="AE18" s="290"/>
      <c r="AF18" s="289" t="s">
        <v>91</v>
      </c>
      <c r="AG18" s="290"/>
    </row>
    <row r="19" spans="1:33" s="16" customFormat="1" ht="79.5" hidden="1" customHeight="1" x14ac:dyDescent="0.25">
      <c r="A19" s="95" t="s">
        <v>48</v>
      </c>
      <c r="B19" s="94" t="s">
        <v>189</v>
      </c>
      <c r="C19" s="110" t="s">
        <v>117</v>
      </c>
      <c r="D19" s="110" t="s">
        <v>95</v>
      </c>
      <c r="E19" s="110" t="s">
        <v>198</v>
      </c>
      <c r="F19" s="110" t="s">
        <v>190</v>
      </c>
      <c r="G19" s="96" t="s">
        <v>93</v>
      </c>
      <c r="H19" s="289" t="s">
        <v>91</v>
      </c>
      <c r="I19" s="290"/>
      <c r="J19" s="289" t="s">
        <v>91</v>
      </c>
      <c r="K19" s="290"/>
      <c r="L19" s="289" t="s">
        <v>91</v>
      </c>
      <c r="M19" s="290"/>
      <c r="N19" s="289" t="s">
        <v>91</v>
      </c>
      <c r="O19" s="290"/>
      <c r="P19" s="35"/>
      <c r="Q19" s="15"/>
      <c r="R19" s="15"/>
      <c r="S19" s="15"/>
      <c r="T19" s="15"/>
      <c r="U19" s="15"/>
      <c r="V19" s="15"/>
      <c r="Z19" s="289" t="s">
        <v>91</v>
      </c>
      <c r="AA19" s="290"/>
      <c r="AB19" s="289" t="s">
        <v>91</v>
      </c>
      <c r="AC19" s="290"/>
      <c r="AD19" s="289" t="s">
        <v>91</v>
      </c>
      <c r="AE19" s="290"/>
      <c r="AF19" s="289" t="s">
        <v>91</v>
      </c>
      <c r="AG19" s="290"/>
    </row>
    <row r="20" spans="1:33" s="16" customFormat="1" ht="96" hidden="1" customHeight="1" x14ac:dyDescent="0.25">
      <c r="A20" s="95" t="s">
        <v>49</v>
      </c>
      <c r="B20" s="110" t="s">
        <v>58</v>
      </c>
      <c r="C20" s="110" t="s">
        <v>304</v>
      </c>
      <c r="D20" s="110" t="s">
        <v>95</v>
      </c>
      <c r="E20" s="110" t="s">
        <v>200</v>
      </c>
      <c r="F20" s="110" t="s">
        <v>199</v>
      </c>
      <c r="G20" s="96" t="s">
        <v>93</v>
      </c>
      <c r="H20" s="119">
        <v>565</v>
      </c>
      <c r="I20" s="119">
        <v>0</v>
      </c>
      <c r="J20" s="119">
        <v>910.5</v>
      </c>
      <c r="K20" s="119">
        <v>0</v>
      </c>
      <c r="L20" s="119">
        <v>2510.5</v>
      </c>
      <c r="M20" s="119">
        <v>0</v>
      </c>
      <c r="N20" s="119">
        <f>H20+J20+L20</f>
        <v>3986</v>
      </c>
      <c r="O20" s="119">
        <f t="shared" ref="O20:V20" si="6">I20+K20+M20</f>
        <v>0</v>
      </c>
      <c r="P20" s="77">
        <f t="shared" si="6"/>
        <v>7407</v>
      </c>
      <c r="Q20" s="77">
        <f t="shared" si="6"/>
        <v>0</v>
      </c>
      <c r="R20" s="77">
        <f t="shared" si="6"/>
        <v>13903.5</v>
      </c>
      <c r="S20" s="77">
        <f t="shared" si="6"/>
        <v>0</v>
      </c>
      <c r="T20" s="77">
        <f t="shared" si="6"/>
        <v>25296.5</v>
      </c>
      <c r="U20" s="77">
        <f t="shared" si="6"/>
        <v>0</v>
      </c>
      <c r="V20" s="77">
        <f t="shared" si="6"/>
        <v>46607</v>
      </c>
      <c r="Z20" s="119">
        <v>565</v>
      </c>
      <c r="AA20" s="119">
        <v>0</v>
      </c>
      <c r="AB20" s="119">
        <v>910.5</v>
      </c>
      <c r="AC20" s="119">
        <v>0</v>
      </c>
      <c r="AD20" s="119">
        <v>2510.5</v>
      </c>
      <c r="AE20" s="119">
        <v>0</v>
      </c>
      <c r="AF20" s="119">
        <f>Z20+AB20+AD20</f>
        <v>3986</v>
      </c>
      <c r="AG20" s="119">
        <f>AA20+AC20+AE20</f>
        <v>0</v>
      </c>
    </row>
    <row r="21" spans="1:33" s="16" customFormat="1" ht="72.75" hidden="1" customHeight="1" x14ac:dyDescent="0.25">
      <c r="A21" s="113" t="s">
        <v>43</v>
      </c>
      <c r="B21" s="114" t="s">
        <v>77</v>
      </c>
      <c r="C21" s="115"/>
      <c r="D21" s="110" t="s">
        <v>95</v>
      </c>
      <c r="E21" s="120"/>
      <c r="F21" s="120"/>
      <c r="G21" s="96" t="s">
        <v>93</v>
      </c>
      <c r="H21" s="97">
        <f>H22+H23+H25+H27</f>
        <v>2414</v>
      </c>
      <c r="I21" s="97">
        <f t="shared" ref="I21:O21" si="7">I22+I23+I25+I27</f>
        <v>0</v>
      </c>
      <c r="J21" s="97">
        <f t="shared" si="7"/>
        <v>825</v>
      </c>
      <c r="K21" s="97">
        <f t="shared" si="7"/>
        <v>0</v>
      </c>
      <c r="L21" s="97">
        <f t="shared" si="7"/>
        <v>825</v>
      </c>
      <c r="M21" s="97">
        <f t="shared" si="7"/>
        <v>0</v>
      </c>
      <c r="N21" s="97">
        <f t="shared" si="7"/>
        <v>4064</v>
      </c>
      <c r="O21" s="97">
        <f t="shared" si="7"/>
        <v>0</v>
      </c>
      <c r="P21" s="34"/>
      <c r="Q21" s="15"/>
      <c r="R21" s="15"/>
      <c r="S21" s="15"/>
      <c r="T21" s="15"/>
      <c r="U21" s="15"/>
      <c r="V21" s="15"/>
      <c r="Z21" s="97">
        <f>Z22+Z23+Z25+Z27</f>
        <v>2414</v>
      </c>
      <c r="AA21" s="97">
        <f t="shared" ref="AA21:AG21" si="8">AA22+AA23+AA25+AA27</f>
        <v>0</v>
      </c>
      <c r="AB21" s="97">
        <f t="shared" si="8"/>
        <v>825</v>
      </c>
      <c r="AC21" s="97">
        <f t="shared" si="8"/>
        <v>0</v>
      </c>
      <c r="AD21" s="97">
        <f t="shared" si="8"/>
        <v>825</v>
      </c>
      <c r="AE21" s="97">
        <f t="shared" si="8"/>
        <v>0</v>
      </c>
      <c r="AF21" s="97">
        <f t="shared" si="8"/>
        <v>4064</v>
      </c>
      <c r="AG21" s="97">
        <f t="shared" si="8"/>
        <v>0</v>
      </c>
    </row>
    <row r="22" spans="1:33" s="16" customFormat="1" ht="159" hidden="1" customHeight="1" x14ac:dyDescent="0.25">
      <c r="A22" s="95" t="s">
        <v>50</v>
      </c>
      <c r="B22" s="121" t="s">
        <v>201</v>
      </c>
      <c r="C22" s="110" t="s">
        <v>85</v>
      </c>
      <c r="D22" s="110" t="s">
        <v>95</v>
      </c>
      <c r="E22" s="110" t="s">
        <v>202</v>
      </c>
      <c r="F22" s="110" t="s">
        <v>108</v>
      </c>
      <c r="G22" s="96" t="s">
        <v>93</v>
      </c>
      <c r="H22" s="119">
        <v>20</v>
      </c>
      <c r="I22" s="119">
        <v>0</v>
      </c>
      <c r="J22" s="119">
        <v>25</v>
      </c>
      <c r="K22" s="119">
        <v>0</v>
      </c>
      <c r="L22" s="119">
        <v>25</v>
      </c>
      <c r="M22" s="119">
        <v>0</v>
      </c>
      <c r="N22" s="119">
        <f>H22+J22+L22</f>
        <v>70</v>
      </c>
      <c r="O22" s="119">
        <f>I22+K22+M22</f>
        <v>0</v>
      </c>
      <c r="P22" s="35"/>
      <c r="Q22" s="15"/>
      <c r="R22" s="15"/>
      <c r="S22" s="15"/>
      <c r="T22" s="15"/>
      <c r="U22" s="15"/>
      <c r="V22" s="15"/>
      <c r="Z22" s="119">
        <v>20</v>
      </c>
      <c r="AA22" s="119">
        <v>0</v>
      </c>
      <c r="AB22" s="119">
        <v>25</v>
      </c>
      <c r="AC22" s="119">
        <v>0</v>
      </c>
      <c r="AD22" s="119">
        <v>25</v>
      </c>
      <c r="AE22" s="119">
        <v>0</v>
      </c>
      <c r="AF22" s="119">
        <f>Z22+AB22+AD22</f>
        <v>70</v>
      </c>
      <c r="AG22" s="119">
        <f>AA22+AC22+AE22</f>
        <v>0</v>
      </c>
    </row>
    <row r="23" spans="1:33" s="16" customFormat="1" ht="77.25" hidden="1" customHeight="1" x14ac:dyDescent="0.25">
      <c r="A23" s="95" t="s">
        <v>51</v>
      </c>
      <c r="B23" s="110" t="s">
        <v>160</v>
      </c>
      <c r="C23" s="110" t="s">
        <v>85</v>
      </c>
      <c r="D23" s="110" t="s">
        <v>95</v>
      </c>
      <c r="E23" s="110" t="s">
        <v>340</v>
      </c>
      <c r="F23" s="110" t="s">
        <v>108</v>
      </c>
      <c r="G23" s="96" t="s">
        <v>93</v>
      </c>
      <c r="H23" s="119">
        <v>700</v>
      </c>
      <c r="I23" s="119">
        <v>0</v>
      </c>
      <c r="J23" s="119">
        <v>300</v>
      </c>
      <c r="K23" s="119">
        <v>0</v>
      </c>
      <c r="L23" s="119">
        <v>300</v>
      </c>
      <c r="M23" s="119">
        <v>0</v>
      </c>
      <c r="N23" s="119">
        <f>H23+J23+L23</f>
        <v>1300</v>
      </c>
      <c r="O23" s="119">
        <f>I23+K23+M23</f>
        <v>0</v>
      </c>
      <c r="P23" s="35"/>
      <c r="Q23" s="15"/>
      <c r="R23" s="15"/>
      <c r="S23" s="15"/>
      <c r="T23" s="15"/>
      <c r="U23" s="15"/>
      <c r="V23" s="15"/>
      <c r="Z23" s="119">
        <v>700</v>
      </c>
      <c r="AA23" s="119">
        <v>0</v>
      </c>
      <c r="AB23" s="119">
        <v>300</v>
      </c>
      <c r="AC23" s="119">
        <v>0</v>
      </c>
      <c r="AD23" s="119">
        <v>300</v>
      </c>
      <c r="AE23" s="119">
        <v>0</v>
      </c>
      <c r="AF23" s="119">
        <f>Z23+AB23+AD23</f>
        <v>1300</v>
      </c>
      <c r="AG23" s="119">
        <f>AA23+AC23+AE23</f>
        <v>0</v>
      </c>
    </row>
    <row r="24" spans="1:33" s="16" customFormat="1" ht="86.25" hidden="1" customHeight="1" x14ac:dyDescent="0.25">
      <c r="A24" s="95" t="s">
        <v>52</v>
      </c>
      <c r="B24" s="110" t="s">
        <v>68</v>
      </c>
      <c r="C24" s="110" t="s">
        <v>85</v>
      </c>
      <c r="D24" s="110" t="s">
        <v>95</v>
      </c>
      <c r="E24" s="110" t="s">
        <v>203</v>
      </c>
      <c r="F24" s="110" t="s">
        <v>102</v>
      </c>
      <c r="G24" s="96" t="s">
        <v>93</v>
      </c>
      <c r="H24" s="289" t="s">
        <v>91</v>
      </c>
      <c r="I24" s="290"/>
      <c r="J24" s="289" t="s">
        <v>91</v>
      </c>
      <c r="K24" s="290"/>
      <c r="L24" s="289" t="s">
        <v>91</v>
      </c>
      <c r="M24" s="290"/>
      <c r="N24" s="289" t="s">
        <v>91</v>
      </c>
      <c r="O24" s="290"/>
      <c r="P24" s="35"/>
      <c r="Q24" s="15"/>
      <c r="R24" s="15"/>
      <c r="S24" s="15"/>
      <c r="T24" s="15"/>
      <c r="U24" s="15"/>
      <c r="V24" s="15"/>
      <c r="Z24" s="289" t="s">
        <v>91</v>
      </c>
      <c r="AA24" s="290"/>
      <c r="AB24" s="289" t="s">
        <v>91</v>
      </c>
      <c r="AC24" s="290"/>
      <c r="AD24" s="289" t="s">
        <v>91</v>
      </c>
      <c r="AE24" s="290"/>
      <c r="AF24" s="289" t="s">
        <v>91</v>
      </c>
      <c r="AG24" s="290"/>
    </row>
    <row r="25" spans="1:33" s="16" customFormat="1" ht="99.75" hidden="1" customHeight="1" x14ac:dyDescent="0.25">
      <c r="A25" s="95" t="s">
        <v>53</v>
      </c>
      <c r="B25" s="110" t="s">
        <v>56</v>
      </c>
      <c r="C25" s="110" t="s">
        <v>87</v>
      </c>
      <c r="D25" s="110" t="s">
        <v>95</v>
      </c>
      <c r="E25" s="110" t="s">
        <v>339</v>
      </c>
      <c r="F25" s="110" t="s">
        <v>108</v>
      </c>
      <c r="G25" s="96" t="s">
        <v>93</v>
      </c>
      <c r="H25" s="119">
        <v>1194</v>
      </c>
      <c r="I25" s="98">
        <v>0</v>
      </c>
      <c r="J25" s="98">
        <v>0</v>
      </c>
      <c r="K25" s="98"/>
      <c r="L25" s="98">
        <v>0</v>
      </c>
      <c r="M25" s="98"/>
      <c r="N25" s="119">
        <v>1194</v>
      </c>
      <c r="O25" s="98">
        <f>I25</f>
        <v>0</v>
      </c>
      <c r="P25" s="33"/>
      <c r="Q25" s="15"/>
      <c r="R25" s="15"/>
      <c r="S25" s="15"/>
      <c r="T25" s="15"/>
      <c r="U25" s="15"/>
      <c r="V25" s="15"/>
      <c r="Z25" s="119">
        <v>1194</v>
      </c>
      <c r="AA25" s="98">
        <v>0</v>
      </c>
      <c r="AB25" s="98">
        <v>0</v>
      </c>
      <c r="AC25" s="98"/>
      <c r="AD25" s="98">
        <v>0</v>
      </c>
      <c r="AE25" s="98"/>
      <c r="AF25" s="119">
        <v>1194</v>
      </c>
      <c r="AG25" s="98">
        <f>AA25</f>
        <v>0</v>
      </c>
    </row>
    <row r="26" spans="1:33" s="16" customFormat="1" ht="84" hidden="1" customHeight="1" x14ac:dyDescent="0.25">
      <c r="A26" s="95" t="s">
        <v>54</v>
      </c>
      <c r="B26" s="121" t="s">
        <v>103</v>
      </c>
      <c r="C26" s="110" t="s">
        <v>85</v>
      </c>
      <c r="D26" s="110" t="s">
        <v>95</v>
      </c>
      <c r="E26" s="110" t="s">
        <v>204</v>
      </c>
      <c r="F26" s="110" t="s">
        <v>109</v>
      </c>
      <c r="G26" s="96" t="s">
        <v>93</v>
      </c>
      <c r="H26" s="289" t="s">
        <v>91</v>
      </c>
      <c r="I26" s="290"/>
      <c r="J26" s="289" t="s">
        <v>91</v>
      </c>
      <c r="K26" s="290"/>
      <c r="L26" s="289" t="s">
        <v>91</v>
      </c>
      <c r="M26" s="290"/>
      <c r="N26" s="289" t="s">
        <v>91</v>
      </c>
      <c r="O26" s="290"/>
      <c r="P26" s="35"/>
      <c r="Q26" s="15"/>
      <c r="R26" s="15"/>
      <c r="S26" s="15"/>
      <c r="T26" s="15"/>
      <c r="U26" s="15"/>
      <c r="V26" s="15"/>
      <c r="Z26" s="289" t="s">
        <v>91</v>
      </c>
      <c r="AA26" s="290"/>
      <c r="AB26" s="289" t="s">
        <v>91</v>
      </c>
      <c r="AC26" s="290"/>
      <c r="AD26" s="289" t="s">
        <v>91</v>
      </c>
      <c r="AE26" s="290"/>
      <c r="AF26" s="289" t="s">
        <v>91</v>
      </c>
      <c r="AG26" s="290"/>
    </row>
    <row r="27" spans="1:33" s="16" customFormat="1" ht="312" hidden="1" customHeight="1" x14ac:dyDescent="0.25">
      <c r="A27" s="95" t="s">
        <v>78</v>
      </c>
      <c r="B27" s="110" t="s">
        <v>80</v>
      </c>
      <c r="C27" s="110" t="s">
        <v>112</v>
      </c>
      <c r="D27" s="110" t="s">
        <v>95</v>
      </c>
      <c r="E27" s="110" t="s">
        <v>205</v>
      </c>
      <c r="F27" s="110" t="s">
        <v>108</v>
      </c>
      <c r="G27" s="96" t="s">
        <v>93</v>
      </c>
      <c r="H27" s="98">
        <v>500</v>
      </c>
      <c r="I27" s="119">
        <v>0</v>
      </c>
      <c r="J27" s="119">
        <v>500</v>
      </c>
      <c r="K27" s="119">
        <v>0</v>
      </c>
      <c r="L27" s="119">
        <v>500</v>
      </c>
      <c r="M27" s="119">
        <v>0</v>
      </c>
      <c r="N27" s="119">
        <f>H27+J27+L27</f>
        <v>1500</v>
      </c>
      <c r="O27" s="119">
        <f>I27+K27+M27</f>
        <v>0</v>
      </c>
      <c r="P27" s="35"/>
      <c r="Q27" s="15"/>
      <c r="R27" s="15"/>
      <c r="S27" s="15"/>
      <c r="T27" s="15"/>
      <c r="U27" s="15"/>
      <c r="V27" s="15"/>
      <c r="Z27" s="98">
        <v>500</v>
      </c>
      <c r="AA27" s="119">
        <v>0</v>
      </c>
      <c r="AB27" s="119">
        <v>500</v>
      </c>
      <c r="AC27" s="119">
        <v>0</v>
      </c>
      <c r="AD27" s="119">
        <v>500</v>
      </c>
      <c r="AE27" s="119">
        <v>0</v>
      </c>
      <c r="AF27" s="119">
        <f>Z27+AB27+AD27</f>
        <v>1500</v>
      </c>
      <c r="AG27" s="119">
        <f>AA27+AC27+AE27</f>
        <v>0</v>
      </c>
    </row>
    <row r="28" spans="1:33" s="16" customFormat="1" ht="46.5" hidden="1" x14ac:dyDescent="0.25">
      <c r="A28" s="113" t="s">
        <v>60</v>
      </c>
      <c r="B28" s="114" t="s">
        <v>59</v>
      </c>
      <c r="C28" s="115"/>
      <c r="D28" s="110" t="s">
        <v>95</v>
      </c>
      <c r="E28" s="120"/>
      <c r="F28" s="120"/>
      <c r="G28" s="96" t="s">
        <v>93</v>
      </c>
      <c r="H28" s="97">
        <f>8950+H30+H31</f>
        <v>8975</v>
      </c>
      <c r="I28" s="97">
        <f>I30+I31</f>
        <v>0</v>
      </c>
      <c r="J28" s="97">
        <f>J30+J31</f>
        <v>60</v>
      </c>
      <c r="K28" s="97">
        <f>K30+K31</f>
        <v>0</v>
      </c>
      <c r="L28" s="97">
        <f>L30+L31</f>
        <v>80</v>
      </c>
      <c r="M28" s="97">
        <f>M30+M31</f>
        <v>0</v>
      </c>
      <c r="N28" s="97">
        <f>N30+N31+N33</f>
        <v>9115</v>
      </c>
      <c r="O28" s="97">
        <f>O30+O31+O33</f>
        <v>0</v>
      </c>
      <c r="P28" s="34"/>
      <c r="Q28" s="15"/>
      <c r="R28" s="15"/>
      <c r="S28" s="15"/>
      <c r="T28" s="15"/>
      <c r="U28" s="15"/>
      <c r="V28" s="15"/>
      <c r="Z28" s="97">
        <f>8950+Z30+Z31</f>
        <v>8975</v>
      </c>
      <c r="AA28" s="97">
        <f>AA30+AA31</f>
        <v>0</v>
      </c>
      <c r="AB28" s="97">
        <f>AB30+AB31</f>
        <v>60</v>
      </c>
      <c r="AC28" s="97">
        <f>AC30+AC31</f>
        <v>0</v>
      </c>
      <c r="AD28" s="97">
        <f>AD30+AD31</f>
        <v>80</v>
      </c>
      <c r="AE28" s="97">
        <f>AE30+AE31</f>
        <v>0</v>
      </c>
      <c r="AF28" s="97">
        <f>AF30+AF31+AF33</f>
        <v>9115</v>
      </c>
      <c r="AG28" s="97">
        <f>AG30+AG31+AG33</f>
        <v>0</v>
      </c>
    </row>
    <row r="29" spans="1:33" s="16" customFormat="1" ht="141.75" hidden="1" customHeight="1" x14ac:dyDescent="0.25">
      <c r="A29" s="95" t="s">
        <v>70</v>
      </c>
      <c r="B29" s="110" t="s">
        <v>98</v>
      </c>
      <c r="C29" s="110" t="s">
        <v>83</v>
      </c>
      <c r="D29" s="110" t="s">
        <v>95</v>
      </c>
      <c r="E29" s="110" t="s">
        <v>206</v>
      </c>
      <c r="F29" s="110" t="s">
        <v>185</v>
      </c>
      <c r="G29" s="96" t="s">
        <v>93</v>
      </c>
      <c r="H29" s="289">
        <v>12</v>
      </c>
      <c r="I29" s="290"/>
      <c r="J29" s="289">
        <v>12</v>
      </c>
      <c r="K29" s="290"/>
      <c r="L29" s="289">
        <v>12</v>
      </c>
      <c r="M29" s="290"/>
      <c r="N29" s="289">
        <v>12</v>
      </c>
      <c r="O29" s="290"/>
      <c r="P29" s="35"/>
      <c r="Q29" s="15"/>
      <c r="R29" s="15"/>
      <c r="S29" s="15"/>
      <c r="T29" s="15"/>
      <c r="U29" s="15"/>
      <c r="V29" s="15"/>
      <c r="Z29" s="289">
        <v>12</v>
      </c>
      <c r="AA29" s="290"/>
      <c r="AB29" s="289">
        <v>12</v>
      </c>
      <c r="AC29" s="290"/>
      <c r="AD29" s="289">
        <v>12</v>
      </c>
      <c r="AE29" s="290"/>
      <c r="AF29" s="289">
        <v>12</v>
      </c>
      <c r="AG29" s="290"/>
    </row>
    <row r="30" spans="1:33" s="16" customFormat="1" ht="144" hidden="1" customHeight="1" x14ac:dyDescent="0.25">
      <c r="A30" s="95" t="s">
        <v>71</v>
      </c>
      <c r="B30" s="110" t="s">
        <v>57</v>
      </c>
      <c r="C30" s="110" t="s">
        <v>347</v>
      </c>
      <c r="D30" s="110" t="s">
        <v>95</v>
      </c>
      <c r="E30" s="110" t="s">
        <v>207</v>
      </c>
      <c r="F30" s="110" t="s">
        <v>108</v>
      </c>
      <c r="G30" s="96" t="s">
        <v>93</v>
      </c>
      <c r="H30" s="98">
        <v>20</v>
      </c>
      <c r="I30" s="98">
        <v>0</v>
      </c>
      <c r="J30" s="98">
        <v>50</v>
      </c>
      <c r="K30" s="98">
        <v>0</v>
      </c>
      <c r="L30" s="98">
        <v>70</v>
      </c>
      <c r="M30" s="98">
        <v>0</v>
      </c>
      <c r="N30" s="98">
        <f>H30+J30+L30</f>
        <v>140</v>
      </c>
      <c r="O30" s="98">
        <f>I30+K30+M30</f>
        <v>0</v>
      </c>
      <c r="P30" s="36"/>
      <c r="Q30" s="15"/>
      <c r="R30" s="15"/>
      <c r="S30" s="15"/>
      <c r="T30" s="15"/>
      <c r="U30" s="15"/>
      <c r="V30" s="15"/>
      <c r="Z30" s="98">
        <v>20</v>
      </c>
      <c r="AA30" s="98">
        <v>0</v>
      </c>
      <c r="AB30" s="98">
        <v>50</v>
      </c>
      <c r="AC30" s="98">
        <v>0</v>
      </c>
      <c r="AD30" s="98">
        <v>70</v>
      </c>
      <c r="AE30" s="98">
        <v>0</v>
      </c>
      <c r="AF30" s="98">
        <f>Z30+AB30+AD30</f>
        <v>140</v>
      </c>
      <c r="AG30" s="98">
        <f>AA30+AC30+AE30</f>
        <v>0</v>
      </c>
    </row>
    <row r="31" spans="1:33" s="16" customFormat="1" ht="102.75" hidden="1" customHeight="1" x14ac:dyDescent="0.25">
      <c r="A31" s="95" t="s">
        <v>72</v>
      </c>
      <c r="B31" s="122" t="s">
        <v>69</v>
      </c>
      <c r="C31" s="110" t="s">
        <v>351</v>
      </c>
      <c r="D31" s="110" t="s">
        <v>95</v>
      </c>
      <c r="E31" s="110" t="s">
        <v>352</v>
      </c>
      <c r="F31" s="110" t="s">
        <v>108</v>
      </c>
      <c r="G31" s="96" t="s">
        <v>93</v>
      </c>
      <c r="H31" s="98">
        <v>5</v>
      </c>
      <c r="I31" s="98">
        <v>0</v>
      </c>
      <c r="J31" s="98">
        <v>10</v>
      </c>
      <c r="K31" s="98">
        <v>0</v>
      </c>
      <c r="L31" s="98">
        <v>10</v>
      </c>
      <c r="M31" s="98">
        <v>0</v>
      </c>
      <c r="N31" s="98">
        <f>H31+J31+L31</f>
        <v>25</v>
      </c>
      <c r="O31" s="98">
        <f>I31+K31+M31</f>
        <v>0</v>
      </c>
      <c r="P31" s="36"/>
      <c r="Q31" s="15"/>
      <c r="R31" s="15"/>
      <c r="S31" s="15"/>
      <c r="T31" s="15"/>
      <c r="U31" s="15"/>
      <c r="V31" s="15"/>
      <c r="Z31" s="98">
        <v>5</v>
      </c>
      <c r="AA31" s="98">
        <v>0</v>
      </c>
      <c r="AB31" s="98">
        <v>10</v>
      </c>
      <c r="AC31" s="98">
        <v>0</v>
      </c>
      <c r="AD31" s="98">
        <v>10</v>
      </c>
      <c r="AE31" s="98">
        <v>0</v>
      </c>
      <c r="AF31" s="98">
        <f>Z31+AB31+AD31</f>
        <v>25</v>
      </c>
      <c r="AG31" s="98">
        <f>AA31+AC31+AE31</f>
        <v>0</v>
      </c>
    </row>
    <row r="32" spans="1:33" s="16" customFormat="1" ht="97.5" hidden="1" customHeight="1" x14ac:dyDescent="0.25">
      <c r="A32" s="95" t="s">
        <v>73</v>
      </c>
      <c r="B32" s="121" t="s">
        <v>209</v>
      </c>
      <c r="C32" s="110" t="s">
        <v>86</v>
      </c>
      <c r="D32" s="110" t="s">
        <v>95</v>
      </c>
      <c r="E32" s="110" t="s">
        <v>210</v>
      </c>
      <c r="F32" s="110" t="s">
        <v>208</v>
      </c>
      <c r="G32" s="96" t="s">
        <v>93</v>
      </c>
      <c r="H32" s="289" t="s">
        <v>91</v>
      </c>
      <c r="I32" s="290"/>
      <c r="J32" s="289" t="s">
        <v>91</v>
      </c>
      <c r="K32" s="290"/>
      <c r="L32" s="289" t="s">
        <v>91</v>
      </c>
      <c r="M32" s="290"/>
      <c r="N32" s="289" t="s">
        <v>91</v>
      </c>
      <c r="O32" s="290" t="s">
        <v>91</v>
      </c>
      <c r="P32" s="36"/>
      <c r="Q32" s="15"/>
      <c r="R32" s="15"/>
      <c r="S32" s="15"/>
      <c r="T32" s="15"/>
      <c r="U32" s="15"/>
      <c r="V32" s="15"/>
      <c r="Z32" s="289" t="s">
        <v>91</v>
      </c>
      <c r="AA32" s="290"/>
      <c r="AB32" s="289" t="s">
        <v>91</v>
      </c>
      <c r="AC32" s="290"/>
      <c r="AD32" s="289" t="s">
        <v>91</v>
      </c>
      <c r="AE32" s="290"/>
      <c r="AF32" s="289" t="s">
        <v>91</v>
      </c>
      <c r="AG32" s="290" t="s">
        <v>91</v>
      </c>
    </row>
    <row r="33" spans="1:33" s="16" customFormat="1" ht="61.5" hidden="1" customHeight="1" x14ac:dyDescent="0.25">
      <c r="A33" s="95" t="s">
        <v>74</v>
      </c>
      <c r="B33" s="121" t="s">
        <v>113</v>
      </c>
      <c r="C33" s="110" t="s">
        <v>86</v>
      </c>
      <c r="D33" s="110" t="s">
        <v>95</v>
      </c>
      <c r="E33" s="110" t="s">
        <v>211</v>
      </c>
      <c r="F33" s="110" t="s">
        <v>108</v>
      </c>
      <c r="G33" s="96" t="s">
        <v>93</v>
      </c>
      <c r="H33" s="98" t="s">
        <v>161</v>
      </c>
      <c r="I33" s="98">
        <v>0</v>
      </c>
      <c r="J33" s="98">
        <v>0</v>
      </c>
      <c r="K33" s="98">
        <v>0</v>
      </c>
      <c r="L33" s="98">
        <v>0</v>
      </c>
      <c r="M33" s="98">
        <v>0</v>
      </c>
      <c r="N33" s="98">
        <v>8950</v>
      </c>
      <c r="O33" s="98">
        <v>0</v>
      </c>
      <c r="P33" s="36"/>
      <c r="Q33" s="15"/>
      <c r="R33" s="15"/>
      <c r="S33" s="15"/>
      <c r="T33" s="15"/>
      <c r="U33" s="15"/>
      <c r="V33" s="15"/>
      <c r="Z33" s="98" t="s">
        <v>161</v>
      </c>
      <c r="AA33" s="98">
        <v>0</v>
      </c>
      <c r="AB33" s="98">
        <v>0</v>
      </c>
      <c r="AC33" s="98">
        <v>0</v>
      </c>
      <c r="AD33" s="98">
        <v>0</v>
      </c>
      <c r="AE33" s="98">
        <v>0</v>
      </c>
      <c r="AF33" s="98">
        <v>8950</v>
      </c>
      <c r="AG33" s="98">
        <v>0</v>
      </c>
    </row>
    <row r="34" spans="1:33" s="16" customFormat="1" ht="120" hidden="1" customHeight="1" x14ac:dyDescent="0.25">
      <c r="A34" s="95" t="s">
        <v>76</v>
      </c>
      <c r="B34" s="123" t="s">
        <v>81</v>
      </c>
      <c r="C34" s="110" t="s">
        <v>83</v>
      </c>
      <c r="D34" s="110" t="s">
        <v>95</v>
      </c>
      <c r="E34" s="110" t="s">
        <v>353</v>
      </c>
      <c r="F34" s="110" t="s">
        <v>212</v>
      </c>
      <c r="G34" s="96" t="s">
        <v>93</v>
      </c>
      <c r="H34" s="289">
        <v>1</v>
      </c>
      <c r="I34" s="290"/>
      <c r="J34" s="289">
        <v>1</v>
      </c>
      <c r="K34" s="290"/>
      <c r="L34" s="289">
        <v>1</v>
      </c>
      <c r="M34" s="290"/>
      <c r="N34" s="289">
        <v>3</v>
      </c>
      <c r="O34" s="290" t="s">
        <v>91</v>
      </c>
      <c r="P34" s="36"/>
      <c r="Q34" s="15"/>
      <c r="R34" s="15"/>
      <c r="S34" s="15"/>
      <c r="T34" s="15"/>
      <c r="U34" s="15"/>
      <c r="V34" s="15"/>
      <c r="Z34" s="289">
        <v>1</v>
      </c>
      <c r="AA34" s="290"/>
      <c r="AB34" s="289">
        <v>1</v>
      </c>
      <c r="AC34" s="290"/>
      <c r="AD34" s="289">
        <v>1</v>
      </c>
      <c r="AE34" s="290"/>
      <c r="AF34" s="289">
        <v>3</v>
      </c>
      <c r="AG34" s="290" t="s">
        <v>91</v>
      </c>
    </row>
    <row r="35" spans="1:33" s="16" customFormat="1" ht="77.25" hidden="1" customHeight="1" x14ac:dyDescent="0.25">
      <c r="A35" s="95" t="s">
        <v>114</v>
      </c>
      <c r="B35" s="121" t="s">
        <v>82</v>
      </c>
      <c r="C35" s="110" t="s">
        <v>118</v>
      </c>
      <c r="D35" s="110" t="s">
        <v>95</v>
      </c>
      <c r="E35" s="110" t="s">
        <v>214</v>
      </c>
      <c r="F35" s="110" t="s">
        <v>344</v>
      </c>
      <c r="G35" s="96" t="s">
        <v>93</v>
      </c>
      <c r="H35" s="289" t="s">
        <v>91</v>
      </c>
      <c r="I35" s="290"/>
      <c r="J35" s="289" t="s">
        <v>91</v>
      </c>
      <c r="K35" s="290"/>
      <c r="L35" s="289" t="s">
        <v>91</v>
      </c>
      <c r="M35" s="290"/>
      <c r="N35" s="289" t="s">
        <v>91</v>
      </c>
      <c r="O35" s="290" t="s">
        <v>91</v>
      </c>
      <c r="P35" s="36"/>
      <c r="Q35" s="15"/>
      <c r="R35" s="15"/>
      <c r="S35" s="15"/>
      <c r="T35" s="15"/>
      <c r="U35" s="15"/>
      <c r="V35" s="15"/>
      <c r="Z35" s="289" t="s">
        <v>91</v>
      </c>
      <c r="AA35" s="290"/>
      <c r="AB35" s="289" t="s">
        <v>91</v>
      </c>
      <c r="AC35" s="290"/>
      <c r="AD35" s="289" t="s">
        <v>91</v>
      </c>
      <c r="AE35" s="290"/>
      <c r="AF35" s="289" t="s">
        <v>91</v>
      </c>
      <c r="AG35" s="290" t="s">
        <v>91</v>
      </c>
    </row>
    <row r="36" spans="1:33" s="16" customFormat="1" ht="120" hidden="1" customHeight="1" x14ac:dyDescent="0.25">
      <c r="A36" s="113" t="s">
        <v>75</v>
      </c>
      <c r="B36" s="114" t="s">
        <v>61</v>
      </c>
      <c r="C36" s="110" t="s">
        <v>215</v>
      </c>
      <c r="D36" s="110" t="s">
        <v>95</v>
      </c>
      <c r="E36" s="110" t="s">
        <v>213</v>
      </c>
      <c r="F36" s="110" t="s">
        <v>108</v>
      </c>
      <c r="G36" s="96" t="s">
        <v>93</v>
      </c>
      <c r="H36" s="96">
        <v>376.5</v>
      </c>
      <c r="I36" s="96">
        <v>376.5</v>
      </c>
      <c r="J36" s="96">
        <v>0</v>
      </c>
      <c r="K36" s="96">
        <v>0</v>
      </c>
      <c r="L36" s="96">
        <v>0</v>
      </c>
      <c r="M36" s="96">
        <v>0</v>
      </c>
      <c r="N36" s="96">
        <v>376.5</v>
      </c>
      <c r="O36" s="96">
        <v>376.5</v>
      </c>
      <c r="P36" s="36"/>
      <c r="Q36" s="15"/>
      <c r="R36" s="15"/>
      <c r="S36" s="15"/>
      <c r="T36" s="15"/>
      <c r="U36" s="15"/>
      <c r="V36" s="15"/>
      <c r="Z36" s="96">
        <v>376.5</v>
      </c>
      <c r="AA36" s="96">
        <v>376.5</v>
      </c>
      <c r="AB36" s="96">
        <v>0</v>
      </c>
      <c r="AC36" s="96">
        <v>0</v>
      </c>
      <c r="AD36" s="96">
        <v>0</v>
      </c>
      <c r="AE36" s="96">
        <v>0</v>
      </c>
      <c r="AF36" s="96">
        <v>376.5</v>
      </c>
      <c r="AG36" s="96">
        <v>376.5</v>
      </c>
    </row>
    <row r="37" spans="1:33" s="16" customFormat="1" ht="45" hidden="1" customHeight="1" x14ac:dyDescent="0.25">
      <c r="A37" s="113" t="s">
        <v>341</v>
      </c>
      <c r="B37" s="114" t="s">
        <v>342</v>
      </c>
      <c r="C37" s="110" t="s">
        <v>349</v>
      </c>
      <c r="D37" s="110" t="s">
        <v>343</v>
      </c>
      <c r="E37" s="110" t="s">
        <v>348</v>
      </c>
      <c r="F37" s="110" t="s">
        <v>345</v>
      </c>
      <c r="G37" s="96" t="s">
        <v>346</v>
      </c>
      <c r="H37" s="291">
        <v>0</v>
      </c>
      <c r="I37" s="292"/>
      <c r="J37" s="291">
        <v>50</v>
      </c>
      <c r="K37" s="292"/>
      <c r="L37" s="291">
        <v>45</v>
      </c>
      <c r="M37" s="292"/>
      <c r="N37" s="291">
        <v>95</v>
      </c>
      <c r="O37" s="292"/>
      <c r="P37" s="36"/>
      <c r="Q37" s="15"/>
      <c r="R37" s="15"/>
      <c r="S37" s="15"/>
      <c r="T37" s="15"/>
      <c r="U37" s="15"/>
      <c r="V37" s="15"/>
      <c r="Z37" s="291">
        <v>0</v>
      </c>
      <c r="AA37" s="292"/>
      <c r="AB37" s="291">
        <v>50</v>
      </c>
      <c r="AC37" s="292"/>
      <c r="AD37" s="291">
        <v>45</v>
      </c>
      <c r="AE37" s="292"/>
      <c r="AF37" s="291">
        <v>95</v>
      </c>
      <c r="AG37" s="292"/>
    </row>
    <row r="38" spans="1:33" s="16" customFormat="1" ht="27.75" hidden="1" customHeight="1" x14ac:dyDescent="0.25">
      <c r="A38" s="113"/>
      <c r="B38" s="93" t="s">
        <v>105</v>
      </c>
      <c r="C38" s="94"/>
      <c r="D38" s="94"/>
      <c r="E38" s="95"/>
      <c r="F38" s="95"/>
      <c r="G38" s="96"/>
      <c r="H38" s="97">
        <f>H7+H13+H15+H21+H28+H36</f>
        <v>14880.5</v>
      </c>
      <c r="I38" s="97">
        <f t="shared" ref="I38:O38" si="9">I7+I13+I15+I21+I28+I36</f>
        <v>376.5</v>
      </c>
      <c r="J38" s="97">
        <f t="shared" si="9"/>
        <v>4345.5</v>
      </c>
      <c r="K38" s="97">
        <f t="shared" si="9"/>
        <v>0</v>
      </c>
      <c r="L38" s="97">
        <f t="shared" si="9"/>
        <v>5965.5</v>
      </c>
      <c r="M38" s="97">
        <f t="shared" si="9"/>
        <v>0</v>
      </c>
      <c r="N38" s="97">
        <f t="shared" si="9"/>
        <v>25191.5</v>
      </c>
      <c r="O38" s="97">
        <f t="shared" si="9"/>
        <v>376.5</v>
      </c>
      <c r="P38" s="37"/>
      <c r="Q38" s="15"/>
      <c r="R38" s="15"/>
      <c r="S38" s="15"/>
      <c r="T38" s="15"/>
      <c r="U38" s="15"/>
      <c r="V38" s="15"/>
      <c r="Z38" s="97">
        <f>Z7+Z13+Z15+Z21+Z28+Z36</f>
        <v>14880.5</v>
      </c>
      <c r="AA38" s="97">
        <f t="shared" ref="AA38:AG38" si="10">AA7+AA13+AA15+AA21+AA28+AA36</f>
        <v>376.5</v>
      </c>
      <c r="AB38" s="97">
        <f t="shared" si="10"/>
        <v>4345.5</v>
      </c>
      <c r="AC38" s="97">
        <f t="shared" si="10"/>
        <v>0</v>
      </c>
      <c r="AD38" s="97">
        <f t="shared" si="10"/>
        <v>5965.5</v>
      </c>
      <c r="AE38" s="97">
        <f t="shared" si="10"/>
        <v>0</v>
      </c>
      <c r="AF38" s="97">
        <f t="shared" si="10"/>
        <v>25191.5</v>
      </c>
      <c r="AG38" s="97">
        <f t="shared" si="10"/>
        <v>376.5</v>
      </c>
    </row>
    <row r="39" spans="1:33" s="27" customFormat="1" ht="23.25" hidden="1" x14ac:dyDescent="0.25">
      <c r="A39" s="124" t="s">
        <v>3</v>
      </c>
      <c r="B39" s="125" t="s">
        <v>5</v>
      </c>
      <c r="C39" s="126"/>
      <c r="D39" s="127"/>
      <c r="E39" s="128"/>
      <c r="F39" s="128"/>
      <c r="G39" s="99"/>
      <c r="H39" s="105">
        <v>38223</v>
      </c>
      <c r="I39" s="106">
        <v>21460</v>
      </c>
      <c r="J39" s="105">
        <v>34707</v>
      </c>
      <c r="K39" s="105">
        <v>14322</v>
      </c>
      <c r="L39" s="105">
        <v>34707</v>
      </c>
      <c r="M39" s="105">
        <v>14322</v>
      </c>
      <c r="N39" s="105">
        <v>107636</v>
      </c>
      <c r="O39" s="105">
        <v>50104</v>
      </c>
      <c r="P39" s="38"/>
      <c r="Q39" s="26"/>
      <c r="R39" s="26"/>
      <c r="S39" s="26"/>
      <c r="T39" s="26"/>
      <c r="U39" s="26"/>
      <c r="V39" s="26"/>
      <c r="Z39" s="105">
        <v>38223</v>
      </c>
      <c r="AA39" s="106">
        <v>21460</v>
      </c>
      <c r="AB39" s="105">
        <v>34707</v>
      </c>
      <c r="AC39" s="105">
        <v>14322</v>
      </c>
      <c r="AD39" s="105">
        <v>34707</v>
      </c>
      <c r="AE39" s="105">
        <v>14322</v>
      </c>
      <c r="AF39" s="105">
        <v>107636</v>
      </c>
      <c r="AG39" s="105">
        <v>50104</v>
      </c>
    </row>
    <row r="40" spans="1:33" s="58" customFormat="1" ht="23.25" hidden="1" x14ac:dyDescent="0.25">
      <c r="A40" s="113" t="s">
        <v>0</v>
      </c>
      <c r="B40" s="114" t="s">
        <v>6</v>
      </c>
      <c r="C40" s="115"/>
      <c r="D40" s="129"/>
      <c r="E40" s="116"/>
      <c r="F40" s="116"/>
      <c r="G40" s="96" t="s">
        <v>93</v>
      </c>
      <c r="H40" s="112">
        <f>H42+H44+H46+H48</f>
        <v>128</v>
      </c>
      <c r="I40" s="112">
        <f t="shared" ref="I40:O40" si="11">I42+I44+I46+I48</f>
        <v>0</v>
      </c>
      <c r="J40" s="112">
        <f t="shared" si="11"/>
        <v>620</v>
      </c>
      <c r="K40" s="112">
        <f t="shared" si="11"/>
        <v>0</v>
      </c>
      <c r="L40" s="112">
        <f t="shared" si="11"/>
        <v>620</v>
      </c>
      <c r="M40" s="112">
        <f t="shared" si="11"/>
        <v>0</v>
      </c>
      <c r="N40" s="112">
        <f t="shared" si="11"/>
        <v>1368</v>
      </c>
      <c r="O40" s="112">
        <f t="shared" si="11"/>
        <v>0</v>
      </c>
      <c r="P40" s="37"/>
      <c r="Q40" s="15"/>
      <c r="R40" s="15"/>
      <c r="S40" s="15"/>
      <c r="T40" s="15"/>
      <c r="U40" s="15"/>
      <c r="V40" s="15"/>
      <c r="Z40" s="112">
        <f>Z42+Z44+Z46+Z48</f>
        <v>128</v>
      </c>
      <c r="AA40" s="112">
        <f t="shared" ref="AA40:AG40" si="12">AA42+AA44+AA46+AA48</f>
        <v>0</v>
      </c>
      <c r="AB40" s="112">
        <f t="shared" si="12"/>
        <v>620</v>
      </c>
      <c r="AC40" s="112">
        <f t="shared" si="12"/>
        <v>0</v>
      </c>
      <c r="AD40" s="112">
        <f t="shared" si="12"/>
        <v>620</v>
      </c>
      <c r="AE40" s="112">
        <f t="shared" si="12"/>
        <v>0</v>
      </c>
      <c r="AF40" s="112">
        <f t="shared" si="12"/>
        <v>1368</v>
      </c>
      <c r="AG40" s="112">
        <f t="shared" si="12"/>
        <v>0</v>
      </c>
    </row>
    <row r="41" spans="1:33" s="12" customFormat="1" ht="106.5" hidden="1" customHeight="1" x14ac:dyDescent="0.25">
      <c r="A41" s="307" t="s">
        <v>7</v>
      </c>
      <c r="B41" s="309" t="s">
        <v>132</v>
      </c>
      <c r="C41" s="309" t="s">
        <v>88</v>
      </c>
      <c r="D41" s="309" t="s">
        <v>14</v>
      </c>
      <c r="E41" s="110" t="s">
        <v>162</v>
      </c>
      <c r="F41" s="110" t="s">
        <v>232</v>
      </c>
      <c r="G41" s="96" t="s">
        <v>93</v>
      </c>
      <c r="H41" s="285" t="s">
        <v>91</v>
      </c>
      <c r="I41" s="286"/>
      <c r="J41" s="285" t="s">
        <v>104</v>
      </c>
      <c r="K41" s="286"/>
      <c r="L41" s="285" t="s">
        <v>104</v>
      </c>
      <c r="M41" s="286"/>
      <c r="N41" s="285" t="s">
        <v>91</v>
      </c>
      <c r="O41" s="286"/>
      <c r="P41" s="49"/>
      <c r="Z41" s="285" t="s">
        <v>91</v>
      </c>
      <c r="AA41" s="286"/>
      <c r="AB41" s="285" t="s">
        <v>104</v>
      </c>
      <c r="AC41" s="286"/>
      <c r="AD41" s="285" t="s">
        <v>104</v>
      </c>
      <c r="AE41" s="286"/>
      <c r="AF41" s="285" t="s">
        <v>91</v>
      </c>
      <c r="AG41" s="286"/>
    </row>
    <row r="42" spans="1:33" s="16" customFormat="1" ht="90" hidden="1" customHeight="1" x14ac:dyDescent="0.25">
      <c r="A42" s="308"/>
      <c r="B42" s="310"/>
      <c r="C42" s="310"/>
      <c r="D42" s="310"/>
      <c r="E42" s="110"/>
      <c r="F42" s="110" t="s">
        <v>108</v>
      </c>
      <c r="G42" s="96" t="s">
        <v>93</v>
      </c>
      <c r="H42" s="130"/>
      <c r="I42" s="131"/>
      <c r="J42" s="130"/>
      <c r="K42" s="131"/>
      <c r="L42" s="130"/>
      <c r="M42" s="131"/>
      <c r="N42" s="130"/>
      <c r="O42" s="131"/>
      <c r="P42" s="36"/>
      <c r="Z42" s="130"/>
      <c r="AA42" s="131"/>
      <c r="AB42" s="130"/>
      <c r="AC42" s="131"/>
      <c r="AD42" s="130"/>
      <c r="AE42" s="131"/>
      <c r="AF42" s="130"/>
      <c r="AG42" s="131"/>
    </row>
    <row r="43" spans="1:33" s="12" customFormat="1" ht="96" hidden="1" customHeight="1" x14ac:dyDescent="0.25">
      <c r="A43" s="307" t="s">
        <v>12</v>
      </c>
      <c r="B43" s="309" t="s">
        <v>233</v>
      </c>
      <c r="C43" s="309" t="s">
        <v>133</v>
      </c>
      <c r="D43" s="309" t="s">
        <v>14</v>
      </c>
      <c r="E43" s="110" t="s">
        <v>234</v>
      </c>
      <c r="F43" s="110" t="s">
        <v>233</v>
      </c>
      <c r="G43" s="96" t="s">
        <v>93</v>
      </c>
      <c r="H43" s="285" t="s">
        <v>91</v>
      </c>
      <c r="I43" s="286"/>
      <c r="J43" s="285" t="s">
        <v>104</v>
      </c>
      <c r="K43" s="286"/>
      <c r="L43" s="285" t="s">
        <v>104</v>
      </c>
      <c r="M43" s="286"/>
      <c r="N43" s="285" t="s">
        <v>91</v>
      </c>
      <c r="O43" s="286"/>
      <c r="P43" s="49"/>
      <c r="Z43" s="285" t="s">
        <v>91</v>
      </c>
      <c r="AA43" s="286"/>
      <c r="AB43" s="285" t="s">
        <v>104</v>
      </c>
      <c r="AC43" s="286"/>
      <c r="AD43" s="285" t="s">
        <v>104</v>
      </c>
      <c r="AE43" s="286"/>
      <c r="AF43" s="285" t="s">
        <v>91</v>
      </c>
      <c r="AG43" s="286"/>
    </row>
    <row r="44" spans="1:33" s="12" customFormat="1" ht="32.25" hidden="1" customHeight="1" x14ac:dyDescent="0.25">
      <c r="A44" s="308"/>
      <c r="B44" s="310"/>
      <c r="C44" s="310"/>
      <c r="D44" s="310"/>
      <c r="E44" s="110" t="s">
        <v>235</v>
      </c>
      <c r="F44" s="110" t="s">
        <v>108</v>
      </c>
      <c r="G44" s="96" t="s">
        <v>93</v>
      </c>
      <c r="H44" s="98">
        <v>0</v>
      </c>
      <c r="I44" s="98">
        <v>0</v>
      </c>
      <c r="J44" s="98">
        <v>620</v>
      </c>
      <c r="K44" s="98">
        <v>0</v>
      </c>
      <c r="L44" s="98">
        <v>620</v>
      </c>
      <c r="M44" s="98">
        <v>0</v>
      </c>
      <c r="N44" s="98">
        <f>H44+++++++J44+L44</f>
        <v>1240</v>
      </c>
      <c r="O44" s="98">
        <f>I44+++++++K44+M44</f>
        <v>0</v>
      </c>
      <c r="P44" s="49"/>
      <c r="Z44" s="98">
        <v>0</v>
      </c>
      <c r="AA44" s="98">
        <v>0</v>
      </c>
      <c r="AB44" s="98">
        <v>620</v>
      </c>
      <c r="AC44" s="98">
        <v>0</v>
      </c>
      <c r="AD44" s="98">
        <v>620</v>
      </c>
      <c r="AE44" s="98">
        <v>0</v>
      </c>
      <c r="AF44" s="98">
        <f>Z44+++++++AB44+AD44</f>
        <v>1240</v>
      </c>
      <c r="AG44" s="98">
        <f>AA44+++++++AC44+AE44</f>
        <v>0</v>
      </c>
    </row>
    <row r="45" spans="1:33" s="16" customFormat="1" ht="275.25" hidden="1" customHeight="1" x14ac:dyDescent="0.25">
      <c r="A45" s="95" t="s">
        <v>26</v>
      </c>
      <c r="B45" s="110" t="s">
        <v>23</v>
      </c>
      <c r="C45" s="110" t="s">
        <v>125</v>
      </c>
      <c r="D45" s="110" t="s">
        <v>14</v>
      </c>
      <c r="E45" s="110" t="s">
        <v>236</v>
      </c>
      <c r="F45" s="110" t="s">
        <v>237</v>
      </c>
      <c r="G45" s="96" t="s">
        <v>93</v>
      </c>
      <c r="H45" s="285" t="s">
        <v>91</v>
      </c>
      <c r="I45" s="286"/>
      <c r="J45" s="285" t="s">
        <v>104</v>
      </c>
      <c r="K45" s="286"/>
      <c r="L45" s="285" t="s">
        <v>104</v>
      </c>
      <c r="M45" s="286"/>
      <c r="N45" s="285" t="s">
        <v>91</v>
      </c>
      <c r="O45" s="286"/>
      <c r="P45" s="36"/>
      <c r="Z45" s="285" t="s">
        <v>91</v>
      </c>
      <c r="AA45" s="286"/>
      <c r="AB45" s="285" t="s">
        <v>104</v>
      </c>
      <c r="AC45" s="286"/>
      <c r="AD45" s="285" t="s">
        <v>104</v>
      </c>
      <c r="AE45" s="286"/>
      <c r="AF45" s="285" t="s">
        <v>91</v>
      </c>
      <c r="AG45" s="286"/>
    </row>
    <row r="46" spans="1:33" s="16" customFormat="1" ht="183" hidden="1" customHeight="1" x14ac:dyDescent="0.25">
      <c r="A46" s="95" t="s">
        <v>27</v>
      </c>
      <c r="B46" s="110" t="s">
        <v>350</v>
      </c>
      <c r="C46" s="110" t="s">
        <v>128</v>
      </c>
      <c r="D46" s="110" t="s">
        <v>95</v>
      </c>
      <c r="E46" s="110" t="s">
        <v>299</v>
      </c>
      <c r="F46" s="110" t="s">
        <v>108</v>
      </c>
      <c r="G46" s="96" t="s">
        <v>93</v>
      </c>
      <c r="H46" s="98">
        <v>50</v>
      </c>
      <c r="I46" s="98">
        <v>0</v>
      </c>
      <c r="J46" s="98">
        <v>0</v>
      </c>
      <c r="K46" s="98">
        <v>0</v>
      </c>
      <c r="L46" s="98">
        <v>0</v>
      </c>
      <c r="M46" s="98">
        <v>0</v>
      </c>
      <c r="N46" s="98">
        <f>H46+J46+L46</f>
        <v>50</v>
      </c>
      <c r="O46" s="98">
        <v>0</v>
      </c>
      <c r="P46" s="36"/>
      <c r="Z46" s="98">
        <v>50</v>
      </c>
      <c r="AA46" s="98">
        <v>0</v>
      </c>
      <c r="AB46" s="98">
        <v>0</v>
      </c>
      <c r="AC46" s="98">
        <v>0</v>
      </c>
      <c r="AD46" s="98">
        <v>0</v>
      </c>
      <c r="AE46" s="98">
        <v>0</v>
      </c>
      <c r="AF46" s="98">
        <f>Z46+AB46+AD46</f>
        <v>50</v>
      </c>
      <c r="AG46" s="98">
        <v>0</v>
      </c>
    </row>
    <row r="47" spans="1:33" s="12" customFormat="1" ht="108.75" hidden="1" customHeight="1" x14ac:dyDescent="0.25">
      <c r="A47" s="95" t="s">
        <v>28</v>
      </c>
      <c r="B47" s="110" t="s">
        <v>55</v>
      </c>
      <c r="C47" s="110" t="s">
        <v>88</v>
      </c>
      <c r="D47" s="110" t="s">
        <v>95</v>
      </c>
      <c r="E47" s="110" t="s">
        <v>238</v>
      </c>
      <c r="F47" s="110" t="s">
        <v>126</v>
      </c>
      <c r="G47" s="96" t="s">
        <v>93</v>
      </c>
      <c r="H47" s="285" t="s">
        <v>91</v>
      </c>
      <c r="I47" s="286"/>
      <c r="J47" s="285" t="s">
        <v>91</v>
      </c>
      <c r="K47" s="286"/>
      <c r="L47" s="285" t="s">
        <v>91</v>
      </c>
      <c r="M47" s="286"/>
      <c r="N47" s="285" t="s">
        <v>91</v>
      </c>
      <c r="O47" s="286"/>
      <c r="P47" s="49"/>
      <c r="Z47" s="285" t="s">
        <v>91</v>
      </c>
      <c r="AA47" s="286"/>
      <c r="AB47" s="285" t="s">
        <v>91</v>
      </c>
      <c r="AC47" s="286"/>
      <c r="AD47" s="285" t="s">
        <v>91</v>
      </c>
      <c r="AE47" s="286"/>
      <c r="AF47" s="285" t="s">
        <v>91</v>
      </c>
      <c r="AG47" s="286"/>
    </row>
    <row r="48" spans="1:33" s="12" customFormat="1" ht="93" hidden="1" x14ac:dyDescent="0.25">
      <c r="A48" s="95" t="s">
        <v>29</v>
      </c>
      <c r="B48" s="110" t="s">
        <v>127</v>
      </c>
      <c r="C48" s="110" t="s">
        <v>88</v>
      </c>
      <c r="D48" s="110" t="s">
        <v>95</v>
      </c>
      <c r="E48" s="110" t="s">
        <v>239</v>
      </c>
      <c r="F48" s="110" t="s">
        <v>108</v>
      </c>
      <c r="G48" s="96" t="s">
        <v>93</v>
      </c>
      <c r="H48" s="98">
        <v>78</v>
      </c>
      <c r="I48" s="98">
        <v>0</v>
      </c>
      <c r="J48" s="98">
        <v>0</v>
      </c>
      <c r="K48" s="98">
        <v>0</v>
      </c>
      <c r="L48" s="98">
        <v>0</v>
      </c>
      <c r="M48" s="98">
        <v>0</v>
      </c>
      <c r="N48" s="98">
        <f>H48+J48+L48</f>
        <v>78</v>
      </c>
      <c r="O48" s="98">
        <v>0</v>
      </c>
      <c r="P48" s="49"/>
      <c r="Z48" s="98">
        <v>78</v>
      </c>
      <c r="AA48" s="98">
        <v>0</v>
      </c>
      <c r="AB48" s="98">
        <v>0</v>
      </c>
      <c r="AC48" s="98">
        <v>0</v>
      </c>
      <c r="AD48" s="98">
        <v>0</v>
      </c>
      <c r="AE48" s="98">
        <v>0</v>
      </c>
      <c r="AF48" s="98">
        <f>Z48+AB48+AD48</f>
        <v>78</v>
      </c>
      <c r="AG48" s="98">
        <v>0</v>
      </c>
    </row>
    <row r="49" spans="1:33" s="12" customFormat="1" ht="23.25" hidden="1" x14ac:dyDescent="0.25">
      <c r="A49" s="113" t="s">
        <v>30</v>
      </c>
      <c r="B49" s="114" t="s">
        <v>11</v>
      </c>
      <c r="C49" s="115"/>
      <c r="D49" s="129"/>
      <c r="E49" s="120"/>
      <c r="F49" s="120"/>
      <c r="G49" s="96" t="s">
        <v>93</v>
      </c>
      <c r="H49" s="97">
        <f>H50+H55+H58+H60+H61+H62+H63+H79</f>
        <v>31022.376843820002</v>
      </c>
      <c r="I49" s="97">
        <f t="shared" ref="I49:O49" si="13">I50+I55+I58+I60+I61+I62+I63+I79</f>
        <v>19417.38904432</v>
      </c>
      <c r="J49" s="97">
        <f t="shared" si="13"/>
        <v>26949.577429954286</v>
      </c>
      <c r="K49" s="97">
        <f t="shared" si="13"/>
        <v>12278.98047289143</v>
      </c>
      <c r="L49" s="97">
        <f t="shared" si="13"/>
        <v>26949.577429954286</v>
      </c>
      <c r="M49" s="97">
        <f t="shared" si="13"/>
        <v>12278.98047289143</v>
      </c>
      <c r="N49" s="97">
        <f t="shared" si="13"/>
        <v>84921.531703728571</v>
      </c>
      <c r="O49" s="97">
        <f t="shared" si="13"/>
        <v>43975.349990102855</v>
      </c>
      <c r="P49" s="49"/>
      <c r="Z49" s="97">
        <f>Z50+Z55+Z58+Z60+Z61+Z62+Z63+Z79</f>
        <v>31022.376843820002</v>
      </c>
      <c r="AA49" s="97">
        <f t="shared" ref="AA49:AG49" si="14">AA50+AA55+AA58+AA60+AA61+AA62+AA63+AA79</f>
        <v>19417.38904432</v>
      </c>
      <c r="AB49" s="97">
        <f t="shared" si="14"/>
        <v>26949.577429954286</v>
      </c>
      <c r="AC49" s="97">
        <f t="shared" si="14"/>
        <v>12278.98047289143</v>
      </c>
      <c r="AD49" s="97">
        <f t="shared" si="14"/>
        <v>26949.577429954286</v>
      </c>
      <c r="AE49" s="97">
        <f t="shared" si="14"/>
        <v>12278.98047289143</v>
      </c>
      <c r="AF49" s="97">
        <f t="shared" si="14"/>
        <v>84921.531703728571</v>
      </c>
      <c r="AG49" s="97">
        <f t="shared" si="14"/>
        <v>43975.349990102855</v>
      </c>
    </row>
    <row r="50" spans="1:33" s="16" customFormat="1" ht="60.75" hidden="1" customHeight="1" x14ac:dyDescent="0.25">
      <c r="A50" s="110" t="s">
        <v>31</v>
      </c>
      <c r="B50" s="110" t="s">
        <v>130</v>
      </c>
      <c r="C50" s="96" t="s">
        <v>163</v>
      </c>
      <c r="D50" s="96" t="s">
        <v>163</v>
      </c>
      <c r="E50" s="96" t="s">
        <v>163</v>
      </c>
      <c r="F50" s="96" t="s">
        <v>163</v>
      </c>
      <c r="G50" s="96" t="s">
        <v>93</v>
      </c>
      <c r="H50" s="98">
        <f t="shared" ref="H50:O50" si="15">H51+H52+H53+H54</f>
        <v>15361.5</v>
      </c>
      <c r="I50" s="98">
        <f t="shared" si="15"/>
        <v>14049.5</v>
      </c>
      <c r="J50" s="98">
        <f t="shared" si="15"/>
        <v>5294.4699999999993</v>
      </c>
      <c r="K50" s="98">
        <f t="shared" si="15"/>
        <v>3982.47</v>
      </c>
      <c r="L50" s="98">
        <f t="shared" si="15"/>
        <v>5294.4699999999993</v>
      </c>
      <c r="M50" s="98">
        <f t="shared" si="15"/>
        <v>3982.47</v>
      </c>
      <c r="N50" s="98">
        <f t="shared" si="15"/>
        <v>25950.44</v>
      </c>
      <c r="O50" s="98">
        <f t="shared" si="15"/>
        <v>22014.44</v>
      </c>
      <c r="P50" s="36"/>
      <c r="Z50" s="98">
        <f t="shared" ref="Z50:AG50" si="16">Z51+Z52+Z53+Z54</f>
        <v>15361.5</v>
      </c>
      <c r="AA50" s="98">
        <f t="shared" si="16"/>
        <v>14049.5</v>
      </c>
      <c r="AB50" s="98">
        <f t="shared" si="16"/>
        <v>5294.4699999999993</v>
      </c>
      <c r="AC50" s="98">
        <f t="shared" si="16"/>
        <v>3982.47</v>
      </c>
      <c r="AD50" s="98">
        <f t="shared" si="16"/>
        <v>5294.4699999999993</v>
      </c>
      <c r="AE50" s="98">
        <f t="shared" si="16"/>
        <v>3982.47</v>
      </c>
      <c r="AF50" s="98">
        <f t="shared" si="16"/>
        <v>25950.44</v>
      </c>
      <c r="AG50" s="98">
        <f t="shared" si="16"/>
        <v>22014.44</v>
      </c>
    </row>
    <row r="51" spans="1:33" s="12" customFormat="1" ht="78.75" hidden="1" customHeight="1" x14ac:dyDescent="0.25">
      <c r="A51" s="110" t="s">
        <v>129</v>
      </c>
      <c r="B51" s="132" t="s">
        <v>292</v>
      </c>
      <c r="C51" s="110" t="s">
        <v>318</v>
      </c>
      <c r="D51" s="110" t="s">
        <v>131</v>
      </c>
      <c r="E51" s="110" t="s">
        <v>293</v>
      </c>
      <c r="F51" s="110" t="s">
        <v>108</v>
      </c>
      <c r="G51" s="96" t="s">
        <v>93</v>
      </c>
      <c r="H51" s="98">
        <v>1312</v>
      </c>
      <c r="I51" s="98">
        <v>0</v>
      </c>
      <c r="J51" s="98">
        <v>1312</v>
      </c>
      <c r="K51" s="98">
        <v>0</v>
      </c>
      <c r="L51" s="98">
        <v>1312</v>
      </c>
      <c r="M51" s="98">
        <v>0</v>
      </c>
      <c r="N51" s="98">
        <f t="shared" ref="N51:O54" si="17">H51+J51+L51</f>
        <v>3936</v>
      </c>
      <c r="O51" s="98">
        <f t="shared" si="17"/>
        <v>0</v>
      </c>
      <c r="P51" s="49"/>
      <c r="Z51" s="98">
        <v>1312</v>
      </c>
      <c r="AA51" s="98">
        <v>0</v>
      </c>
      <c r="AB51" s="98">
        <v>1312</v>
      </c>
      <c r="AC51" s="98">
        <v>0</v>
      </c>
      <c r="AD51" s="98">
        <v>1312</v>
      </c>
      <c r="AE51" s="98">
        <v>0</v>
      </c>
      <c r="AF51" s="98">
        <f t="shared" ref="AF51:AG54" si="18">Z51+AB51+AD51</f>
        <v>3936</v>
      </c>
      <c r="AG51" s="98">
        <f t="shared" si="18"/>
        <v>0</v>
      </c>
    </row>
    <row r="52" spans="1:33" s="12" customFormat="1" ht="176.25" hidden="1" customHeight="1" x14ac:dyDescent="0.25">
      <c r="A52" s="307" t="s">
        <v>134</v>
      </c>
      <c r="B52" s="304" t="s">
        <v>291</v>
      </c>
      <c r="C52" s="309" t="s">
        <v>305</v>
      </c>
      <c r="D52" s="110" t="s">
        <v>131</v>
      </c>
      <c r="E52" s="110" t="s">
        <v>355</v>
      </c>
      <c r="F52" s="110" t="s">
        <v>108</v>
      </c>
      <c r="G52" s="96" t="s">
        <v>93</v>
      </c>
      <c r="H52" s="98">
        <v>1290</v>
      </c>
      <c r="I52" s="98">
        <v>1290</v>
      </c>
      <c r="J52" s="98">
        <v>1290</v>
      </c>
      <c r="K52" s="98">
        <v>1290</v>
      </c>
      <c r="L52" s="98">
        <v>1290</v>
      </c>
      <c r="M52" s="98">
        <v>1290</v>
      </c>
      <c r="N52" s="98">
        <f t="shared" si="17"/>
        <v>3870</v>
      </c>
      <c r="O52" s="98">
        <f t="shared" si="17"/>
        <v>3870</v>
      </c>
      <c r="P52" s="49"/>
      <c r="Z52" s="98">
        <v>1290</v>
      </c>
      <c r="AA52" s="98">
        <v>1290</v>
      </c>
      <c r="AB52" s="98">
        <v>1290</v>
      </c>
      <c r="AC52" s="98">
        <v>1290</v>
      </c>
      <c r="AD52" s="98">
        <v>1290</v>
      </c>
      <c r="AE52" s="98">
        <v>1290</v>
      </c>
      <c r="AF52" s="98">
        <f t="shared" si="18"/>
        <v>3870</v>
      </c>
      <c r="AG52" s="98">
        <f t="shared" si="18"/>
        <v>3870</v>
      </c>
    </row>
    <row r="53" spans="1:33" s="12" customFormat="1" ht="95.25" hidden="1" customHeight="1" x14ac:dyDescent="0.25">
      <c r="A53" s="308"/>
      <c r="B53" s="306"/>
      <c r="C53" s="310"/>
      <c r="D53" s="110">
        <v>2018</v>
      </c>
      <c r="E53" s="110" t="s">
        <v>164</v>
      </c>
      <c r="F53" s="110" t="s">
        <v>108</v>
      </c>
      <c r="G53" s="96" t="s">
        <v>93</v>
      </c>
      <c r="H53" s="98">
        <v>10117</v>
      </c>
      <c r="I53" s="98">
        <v>10117</v>
      </c>
      <c r="J53" s="98">
        <v>0</v>
      </c>
      <c r="K53" s="98">
        <v>0</v>
      </c>
      <c r="L53" s="98">
        <v>0</v>
      </c>
      <c r="M53" s="98">
        <v>0</v>
      </c>
      <c r="N53" s="98">
        <f t="shared" si="17"/>
        <v>10117</v>
      </c>
      <c r="O53" s="98">
        <f t="shared" si="17"/>
        <v>10117</v>
      </c>
      <c r="P53" s="49"/>
      <c r="Z53" s="98">
        <v>10117</v>
      </c>
      <c r="AA53" s="98">
        <v>10117</v>
      </c>
      <c r="AB53" s="98">
        <v>0</v>
      </c>
      <c r="AC53" s="98">
        <v>0</v>
      </c>
      <c r="AD53" s="98">
        <v>0</v>
      </c>
      <c r="AE53" s="98">
        <v>0</v>
      </c>
      <c r="AF53" s="98">
        <f t="shared" si="18"/>
        <v>10117</v>
      </c>
      <c r="AG53" s="98">
        <f t="shared" si="18"/>
        <v>10117</v>
      </c>
    </row>
    <row r="54" spans="1:33" s="12" customFormat="1" ht="164.25" hidden="1" customHeight="1" x14ac:dyDescent="0.25">
      <c r="A54" s="110" t="s">
        <v>135</v>
      </c>
      <c r="B54" s="132" t="s">
        <v>330</v>
      </c>
      <c r="C54" s="110" t="s">
        <v>230</v>
      </c>
      <c r="D54" s="110"/>
      <c r="E54" s="110" t="s">
        <v>290</v>
      </c>
      <c r="F54" s="110" t="s">
        <v>108</v>
      </c>
      <c r="G54" s="96" t="s">
        <v>93</v>
      </c>
      <c r="H54" s="98">
        <f>I54</f>
        <v>2642.5</v>
      </c>
      <c r="I54" s="98">
        <f>ROUND((3.7*26.663*12*1.302+4*16.5*5*1.302+4*18.419*7*1.302),2)</f>
        <v>2642.5</v>
      </c>
      <c r="J54" s="98">
        <f>K54</f>
        <v>2692.47</v>
      </c>
      <c r="K54" s="98">
        <f>ROUND((3.7*26.663*12*1.302+4*18.419*12*1.302),2)</f>
        <v>2692.47</v>
      </c>
      <c r="L54" s="98">
        <f>ROUND((3.7*26.663*12*1.302+4*18.419*12*1.302),2)</f>
        <v>2692.47</v>
      </c>
      <c r="M54" s="98">
        <f>ROUND((3.7*26.663*12*1.302+4*18.419*12*1.302),2)</f>
        <v>2692.47</v>
      </c>
      <c r="N54" s="98">
        <f t="shared" si="17"/>
        <v>8027.4399999999987</v>
      </c>
      <c r="O54" s="98">
        <f t="shared" si="17"/>
        <v>8027.4399999999987</v>
      </c>
      <c r="P54" s="49"/>
      <c r="Z54" s="98">
        <f>AA54</f>
        <v>2642.5</v>
      </c>
      <c r="AA54" s="98">
        <f>ROUND((3.7*26.663*12*1.302+4*16.5*5*1.302+4*18.419*7*1.302),2)</f>
        <v>2642.5</v>
      </c>
      <c r="AB54" s="98">
        <f>AC54</f>
        <v>2692.47</v>
      </c>
      <c r="AC54" s="98">
        <f>ROUND((3.7*26.663*12*1.302+4*18.419*12*1.302),2)</f>
        <v>2692.47</v>
      </c>
      <c r="AD54" s="98">
        <f>ROUND((3.7*26.663*12*1.302+4*18.419*12*1.302),2)</f>
        <v>2692.47</v>
      </c>
      <c r="AE54" s="98">
        <f>ROUND((3.7*26.663*12*1.302+4*18.419*12*1.302),2)</f>
        <v>2692.47</v>
      </c>
      <c r="AF54" s="98">
        <f t="shared" si="18"/>
        <v>8027.4399999999987</v>
      </c>
      <c r="AG54" s="98">
        <f t="shared" si="18"/>
        <v>8027.4399999999987</v>
      </c>
    </row>
    <row r="55" spans="1:33" s="16" customFormat="1" ht="124.5" hidden="1" customHeight="1" x14ac:dyDescent="0.25">
      <c r="A55" s="110" t="s">
        <v>32</v>
      </c>
      <c r="B55" s="110" t="s">
        <v>137</v>
      </c>
      <c r="C55" s="96" t="s">
        <v>163</v>
      </c>
      <c r="D55" s="96" t="s">
        <v>163</v>
      </c>
      <c r="E55" s="96" t="s">
        <v>163</v>
      </c>
      <c r="F55" s="96" t="s">
        <v>163</v>
      </c>
      <c r="G55" s="96" t="s">
        <v>93</v>
      </c>
      <c r="H55" s="98">
        <f t="shared" ref="H55:N55" si="19">H56+H57</f>
        <v>5230.4295540000003</v>
      </c>
      <c r="I55" s="98">
        <f t="shared" si="19"/>
        <v>0</v>
      </c>
      <c r="J55" s="98">
        <f t="shared" si="19"/>
        <v>5467.790664000001</v>
      </c>
      <c r="K55" s="98">
        <f t="shared" si="19"/>
        <v>0</v>
      </c>
      <c r="L55" s="98">
        <f t="shared" si="19"/>
        <v>5467.790664000001</v>
      </c>
      <c r="M55" s="98">
        <f t="shared" si="19"/>
        <v>0</v>
      </c>
      <c r="N55" s="98">
        <f t="shared" si="19"/>
        <v>16166.010882000004</v>
      </c>
      <c r="O55" s="98">
        <f>I55+K55+M55</f>
        <v>0</v>
      </c>
      <c r="P55" s="36"/>
      <c r="Z55" s="98">
        <f t="shared" ref="Z55:AF55" si="20">Z56+Z57</f>
        <v>5230.4295540000003</v>
      </c>
      <c r="AA55" s="98">
        <f t="shared" si="20"/>
        <v>0</v>
      </c>
      <c r="AB55" s="98">
        <f t="shared" si="20"/>
        <v>5467.790664000001</v>
      </c>
      <c r="AC55" s="98">
        <f t="shared" si="20"/>
        <v>0</v>
      </c>
      <c r="AD55" s="98">
        <f t="shared" si="20"/>
        <v>5467.790664000001</v>
      </c>
      <c r="AE55" s="98">
        <f t="shared" si="20"/>
        <v>0</v>
      </c>
      <c r="AF55" s="98">
        <f t="shared" si="20"/>
        <v>16166.010882000004</v>
      </c>
      <c r="AG55" s="98">
        <f>AA55+AC55+AE55</f>
        <v>0</v>
      </c>
    </row>
    <row r="56" spans="1:33" s="12" customFormat="1" ht="86.25" hidden="1" customHeight="1" x14ac:dyDescent="0.25">
      <c r="A56" s="110" t="s">
        <v>136</v>
      </c>
      <c r="B56" s="132" t="s">
        <v>289</v>
      </c>
      <c r="C56" s="110" t="s">
        <v>306</v>
      </c>
      <c r="D56" s="110" t="s">
        <v>138</v>
      </c>
      <c r="E56" s="110" t="s">
        <v>298</v>
      </c>
      <c r="F56" s="110" t="s">
        <v>231</v>
      </c>
      <c r="G56" s="96" t="s">
        <v>93</v>
      </c>
      <c r="H56" s="98">
        <f>(16*16.5*5*1.302)+(16*18.419*7*1.302)</f>
        <v>4404.5722560000004</v>
      </c>
      <c r="I56" s="98">
        <v>0</v>
      </c>
      <c r="J56" s="98">
        <f>16*18.419*12*1.302</f>
        <v>4604.455296000001</v>
      </c>
      <c r="K56" s="98">
        <v>0</v>
      </c>
      <c r="L56" s="98">
        <f>J56</f>
        <v>4604.455296000001</v>
      </c>
      <c r="M56" s="98">
        <v>0</v>
      </c>
      <c r="N56" s="98">
        <f>H56+J56+L56</f>
        <v>13613.482848000003</v>
      </c>
      <c r="O56" s="98">
        <f>I56+K56+M56</f>
        <v>0</v>
      </c>
      <c r="P56" s="49"/>
      <c r="Z56" s="98">
        <f>(16*16.5*5*1.302)+(16*18.419*7*1.302)</f>
        <v>4404.5722560000004</v>
      </c>
      <c r="AA56" s="98">
        <v>0</v>
      </c>
      <c r="AB56" s="98">
        <f>16*18.419*12*1.302</f>
        <v>4604.455296000001</v>
      </c>
      <c r="AC56" s="98">
        <v>0</v>
      </c>
      <c r="AD56" s="98">
        <f>AB56</f>
        <v>4604.455296000001</v>
      </c>
      <c r="AE56" s="98">
        <v>0</v>
      </c>
      <c r="AF56" s="98">
        <f>Z56+AB56+AD56</f>
        <v>13613.482848000003</v>
      </c>
      <c r="AG56" s="98">
        <f>AA56+AC56+AE56</f>
        <v>0</v>
      </c>
    </row>
    <row r="57" spans="1:33" s="12" customFormat="1" ht="84.75" hidden="1" customHeight="1" x14ac:dyDescent="0.25">
      <c r="A57" s="110" t="s">
        <v>139</v>
      </c>
      <c r="B57" s="132" t="s">
        <v>288</v>
      </c>
      <c r="C57" s="110" t="s">
        <v>307</v>
      </c>
      <c r="D57" s="110" t="s">
        <v>95</v>
      </c>
      <c r="E57" s="110" t="s">
        <v>356</v>
      </c>
      <c r="F57" s="110" t="s">
        <v>231</v>
      </c>
      <c r="G57" s="96" t="s">
        <v>93</v>
      </c>
      <c r="H57" s="98">
        <f>3*16.5*5*1.302+3*18.419*7*1.302</f>
        <v>825.85729800000013</v>
      </c>
      <c r="I57" s="98">
        <v>0</v>
      </c>
      <c r="J57" s="98">
        <f>3*18.419*12*1.302</f>
        <v>863.33536800000013</v>
      </c>
      <c r="K57" s="98">
        <v>0</v>
      </c>
      <c r="L57" s="98">
        <f>J57</f>
        <v>863.33536800000013</v>
      </c>
      <c r="M57" s="98">
        <v>0</v>
      </c>
      <c r="N57" s="98">
        <f>H57+J57+L57</f>
        <v>2552.5280340000004</v>
      </c>
      <c r="O57" s="98">
        <f>I57+K57+M57</f>
        <v>0</v>
      </c>
      <c r="P57" s="49"/>
      <c r="Z57" s="98">
        <f>3*16.5*5*1.302+3*18.419*7*1.302</f>
        <v>825.85729800000013</v>
      </c>
      <c r="AA57" s="98">
        <v>0</v>
      </c>
      <c r="AB57" s="98">
        <f>3*18.419*12*1.302</f>
        <v>863.33536800000013</v>
      </c>
      <c r="AC57" s="98">
        <v>0</v>
      </c>
      <c r="AD57" s="98">
        <f>AB57</f>
        <v>863.33536800000013</v>
      </c>
      <c r="AE57" s="98">
        <v>0</v>
      </c>
      <c r="AF57" s="98">
        <f>Z57+AB57+AD57</f>
        <v>2552.5280340000004</v>
      </c>
      <c r="AG57" s="98">
        <f>AA57+AC57+AE57</f>
        <v>0</v>
      </c>
    </row>
    <row r="58" spans="1:33" s="12" customFormat="1" ht="127.5" hidden="1" customHeight="1" x14ac:dyDescent="0.25">
      <c r="A58" s="110" t="s">
        <v>33</v>
      </c>
      <c r="B58" s="110" t="s">
        <v>22</v>
      </c>
      <c r="C58" s="110" t="s">
        <v>308</v>
      </c>
      <c r="D58" s="110" t="s">
        <v>14</v>
      </c>
      <c r="E58" s="110" t="s">
        <v>241</v>
      </c>
      <c r="F58" s="110" t="s">
        <v>108</v>
      </c>
      <c r="G58" s="96" t="s">
        <v>93</v>
      </c>
      <c r="H58" s="98">
        <v>385</v>
      </c>
      <c r="I58" s="98">
        <v>0</v>
      </c>
      <c r="J58" s="98">
        <v>0</v>
      </c>
      <c r="K58" s="98">
        <v>0</v>
      </c>
      <c r="L58" s="98">
        <v>0</v>
      </c>
      <c r="M58" s="98">
        <v>0</v>
      </c>
      <c r="N58" s="98">
        <v>385</v>
      </c>
      <c r="O58" s="98">
        <f>I58+K58+M58</f>
        <v>0</v>
      </c>
      <c r="P58" s="49"/>
      <c r="Z58" s="98">
        <v>385</v>
      </c>
      <c r="AA58" s="98">
        <v>0</v>
      </c>
      <c r="AB58" s="98">
        <v>0</v>
      </c>
      <c r="AC58" s="98">
        <v>0</v>
      </c>
      <c r="AD58" s="98">
        <v>0</v>
      </c>
      <c r="AE58" s="98">
        <v>0</v>
      </c>
      <c r="AF58" s="98">
        <v>385</v>
      </c>
      <c r="AG58" s="98">
        <f>AA58+AC58+AE58</f>
        <v>0</v>
      </c>
    </row>
    <row r="59" spans="1:33" s="16" customFormat="1" ht="107.25" hidden="1" customHeight="1" x14ac:dyDescent="0.25">
      <c r="A59" s="133" t="s">
        <v>34</v>
      </c>
      <c r="B59" s="134" t="s">
        <v>334</v>
      </c>
      <c r="C59" s="110" t="s">
        <v>244</v>
      </c>
      <c r="D59" s="134" t="s">
        <v>242</v>
      </c>
      <c r="E59" s="110" t="s">
        <v>243</v>
      </c>
      <c r="F59" s="134" t="s">
        <v>335</v>
      </c>
      <c r="G59" s="96" t="s">
        <v>93</v>
      </c>
      <c r="H59" s="285" t="s">
        <v>287</v>
      </c>
      <c r="I59" s="286"/>
      <c r="J59" s="285" t="s">
        <v>91</v>
      </c>
      <c r="K59" s="286"/>
      <c r="L59" s="285" t="s">
        <v>91</v>
      </c>
      <c r="M59" s="286"/>
      <c r="N59" s="285" t="s">
        <v>91</v>
      </c>
      <c r="O59" s="286"/>
      <c r="P59" s="36"/>
      <c r="Z59" s="285" t="s">
        <v>287</v>
      </c>
      <c r="AA59" s="286"/>
      <c r="AB59" s="285" t="s">
        <v>91</v>
      </c>
      <c r="AC59" s="286"/>
      <c r="AD59" s="285" t="s">
        <v>91</v>
      </c>
      <c r="AE59" s="286"/>
      <c r="AF59" s="285" t="s">
        <v>91</v>
      </c>
      <c r="AG59" s="286"/>
    </row>
    <row r="60" spans="1:33" s="16" customFormat="1" ht="125.25" hidden="1" customHeight="1" x14ac:dyDescent="0.25">
      <c r="A60" s="95" t="s">
        <v>140</v>
      </c>
      <c r="B60" s="132" t="s">
        <v>285</v>
      </c>
      <c r="C60" s="110" t="s">
        <v>319</v>
      </c>
      <c r="D60" s="110" t="s">
        <v>95</v>
      </c>
      <c r="E60" s="110" t="s">
        <v>286</v>
      </c>
      <c r="F60" s="110" t="s">
        <v>108</v>
      </c>
      <c r="G60" s="96" t="s">
        <v>93</v>
      </c>
      <c r="H60" s="98">
        <v>1044</v>
      </c>
      <c r="I60" s="98">
        <v>1044</v>
      </c>
      <c r="J60" s="98">
        <f>ROUND((33.4*12*1.302*6),2)</f>
        <v>3131.05</v>
      </c>
      <c r="K60" s="98">
        <f>J60</f>
        <v>3131.05</v>
      </c>
      <c r="L60" s="98">
        <f>ROUND((33.4*12*1.302*6),2)</f>
        <v>3131.05</v>
      </c>
      <c r="M60" s="98">
        <f>L60</f>
        <v>3131.05</v>
      </c>
      <c r="N60" s="98">
        <f>H60+J60+L60</f>
        <v>7306.1</v>
      </c>
      <c r="O60" s="98">
        <f>I60+K60+M60</f>
        <v>7306.1</v>
      </c>
      <c r="P60" s="36"/>
      <c r="Z60" s="98">
        <v>1044</v>
      </c>
      <c r="AA60" s="98">
        <v>1044</v>
      </c>
      <c r="AB60" s="98">
        <f>ROUND((33.4*12*1.302*6),2)</f>
        <v>3131.05</v>
      </c>
      <c r="AC60" s="98">
        <f>AB60</f>
        <v>3131.05</v>
      </c>
      <c r="AD60" s="98">
        <f>ROUND((33.4*12*1.302*6),2)</f>
        <v>3131.05</v>
      </c>
      <c r="AE60" s="98">
        <f>AD60</f>
        <v>3131.05</v>
      </c>
      <c r="AF60" s="98">
        <f>Z60+AB60+AD60</f>
        <v>7306.1</v>
      </c>
      <c r="AG60" s="98">
        <f>AA60+AC60+AE60</f>
        <v>7306.1</v>
      </c>
    </row>
    <row r="61" spans="1:33" s="16" customFormat="1" ht="80.25" hidden="1" customHeight="1" x14ac:dyDescent="0.25">
      <c r="A61" s="95" t="s">
        <v>141</v>
      </c>
      <c r="B61" s="132" t="s">
        <v>283</v>
      </c>
      <c r="C61" s="110" t="s">
        <v>245</v>
      </c>
      <c r="D61" s="110" t="s">
        <v>95</v>
      </c>
      <c r="E61" s="110" t="s">
        <v>284</v>
      </c>
      <c r="F61" s="110" t="s">
        <v>108</v>
      </c>
      <c r="G61" s="96" t="s">
        <v>93</v>
      </c>
      <c r="H61" s="98">
        <v>174</v>
      </c>
      <c r="I61" s="98">
        <v>174</v>
      </c>
      <c r="J61" s="98">
        <v>522</v>
      </c>
      <c r="K61" s="98">
        <v>522</v>
      </c>
      <c r="L61" s="98">
        <v>522</v>
      </c>
      <c r="M61" s="98">
        <v>522</v>
      </c>
      <c r="N61" s="98">
        <f>H61+J61+L61</f>
        <v>1218</v>
      </c>
      <c r="O61" s="98">
        <f>I61+K61+M61</f>
        <v>1218</v>
      </c>
      <c r="P61" s="36"/>
      <c r="Z61" s="98">
        <v>174</v>
      </c>
      <c r="AA61" s="98">
        <v>174</v>
      </c>
      <c r="AB61" s="98">
        <v>522</v>
      </c>
      <c r="AC61" s="98">
        <v>522</v>
      </c>
      <c r="AD61" s="98">
        <v>522</v>
      </c>
      <c r="AE61" s="98">
        <v>522</v>
      </c>
      <c r="AF61" s="98">
        <f>Z61+AB61+AD61</f>
        <v>1218</v>
      </c>
      <c r="AG61" s="98">
        <f>AA61+AC61+AE61</f>
        <v>1218</v>
      </c>
    </row>
    <row r="62" spans="1:33" s="16" customFormat="1" ht="68.25" hidden="1" customHeight="1" x14ac:dyDescent="0.25">
      <c r="A62" s="95" t="s">
        <v>142</v>
      </c>
      <c r="B62" s="132" t="s">
        <v>281</v>
      </c>
      <c r="C62" s="110" t="s">
        <v>309</v>
      </c>
      <c r="D62" s="110" t="s">
        <v>95</v>
      </c>
      <c r="E62" s="110" t="s">
        <v>282</v>
      </c>
      <c r="F62" s="110" t="s">
        <v>108</v>
      </c>
      <c r="G62" s="96" t="s">
        <v>93</v>
      </c>
      <c r="H62" s="98">
        <v>328</v>
      </c>
      <c r="I62" s="98">
        <v>0</v>
      </c>
      <c r="J62" s="98">
        <f>H62/7*12</f>
        <v>562.28571428571422</v>
      </c>
      <c r="K62" s="98">
        <v>0</v>
      </c>
      <c r="L62" s="98">
        <f>J62</f>
        <v>562.28571428571422</v>
      </c>
      <c r="M62" s="98">
        <v>0</v>
      </c>
      <c r="N62" s="98">
        <f>H62+J62+L62</f>
        <v>1452.5714285714284</v>
      </c>
      <c r="O62" s="98">
        <v>0</v>
      </c>
      <c r="P62" s="36"/>
      <c r="Z62" s="98">
        <v>328</v>
      </c>
      <c r="AA62" s="98">
        <v>0</v>
      </c>
      <c r="AB62" s="98">
        <f>Z62/7*12</f>
        <v>562.28571428571422</v>
      </c>
      <c r="AC62" s="98">
        <v>0</v>
      </c>
      <c r="AD62" s="98">
        <f>AB62</f>
        <v>562.28571428571422</v>
      </c>
      <c r="AE62" s="98">
        <v>0</v>
      </c>
      <c r="AF62" s="98">
        <f>Z62+AB62+AD62</f>
        <v>1452.5714285714284</v>
      </c>
      <c r="AG62" s="98">
        <v>0</v>
      </c>
    </row>
    <row r="63" spans="1:33" s="16" customFormat="1" ht="125.25" hidden="1" customHeight="1" x14ac:dyDescent="0.25">
      <c r="A63" s="95" t="s">
        <v>35</v>
      </c>
      <c r="B63" s="110" t="s">
        <v>165</v>
      </c>
      <c r="C63" s="96" t="s">
        <v>163</v>
      </c>
      <c r="D63" s="96" t="s">
        <v>163</v>
      </c>
      <c r="E63" s="96" t="s">
        <v>163</v>
      </c>
      <c r="F63" s="96" t="s">
        <v>163</v>
      </c>
      <c r="G63" s="96" t="s">
        <v>93</v>
      </c>
      <c r="H63" s="98">
        <f>H64+H65+H66+H68+H67+H69+H70+H71+H72</f>
        <v>8241.6512898199999</v>
      </c>
      <c r="I63" s="98">
        <f t="shared" ref="I63:O63" si="21">I64+I65+I66+I68+I67+I69+I70+I71+I72</f>
        <v>4149.8890443199998</v>
      </c>
      <c r="J63" s="98">
        <f t="shared" si="21"/>
        <v>11714.185051668572</v>
      </c>
      <c r="K63" s="98">
        <f t="shared" si="21"/>
        <v>4643.4604728914292</v>
      </c>
      <c r="L63" s="98">
        <f t="shared" si="21"/>
        <v>11714.185051668572</v>
      </c>
      <c r="M63" s="98">
        <f t="shared" si="21"/>
        <v>4643.4604728914292</v>
      </c>
      <c r="N63" s="98">
        <f t="shared" si="21"/>
        <v>31670.021393157142</v>
      </c>
      <c r="O63" s="98">
        <f t="shared" si="21"/>
        <v>13436.809990102856</v>
      </c>
      <c r="P63" s="36"/>
      <c r="Z63" s="98">
        <f>Z64+Z65+Z66+Z68+Z67+Z69+Z70+Z71+Z72</f>
        <v>8241.6512898199999</v>
      </c>
      <c r="AA63" s="98">
        <f t="shared" ref="AA63:AG63" si="22">AA64+AA65+AA66+AA68+AA67+AA69+AA70+AA71+AA72</f>
        <v>4149.8890443199998</v>
      </c>
      <c r="AB63" s="98">
        <f t="shared" si="22"/>
        <v>11714.185051668572</v>
      </c>
      <c r="AC63" s="98">
        <f t="shared" si="22"/>
        <v>4643.4604728914292</v>
      </c>
      <c r="AD63" s="98">
        <f t="shared" si="22"/>
        <v>11714.185051668572</v>
      </c>
      <c r="AE63" s="98">
        <f t="shared" si="22"/>
        <v>4643.4604728914292</v>
      </c>
      <c r="AF63" s="98">
        <f t="shared" si="22"/>
        <v>31670.021393157142</v>
      </c>
      <c r="AG63" s="98">
        <f t="shared" si="22"/>
        <v>13436.809990102856</v>
      </c>
    </row>
    <row r="64" spans="1:33" s="16" customFormat="1" ht="119.25" hidden="1" customHeight="1" x14ac:dyDescent="0.25">
      <c r="A64" s="95" t="s">
        <v>143</v>
      </c>
      <c r="B64" s="132" t="s">
        <v>280</v>
      </c>
      <c r="C64" s="110" t="s">
        <v>310</v>
      </c>
      <c r="D64" s="110" t="s">
        <v>131</v>
      </c>
      <c r="E64" s="110" t="s">
        <v>357</v>
      </c>
      <c r="F64" s="110" t="s">
        <v>108</v>
      </c>
      <c r="G64" s="96" t="s">
        <v>93</v>
      </c>
      <c r="H64" s="98">
        <f>ROUND((16.5*2.82*5*1.302+18.419*2.82*7*1.302),2)</f>
        <v>776.31</v>
      </c>
      <c r="I64" s="98">
        <v>0</v>
      </c>
      <c r="J64" s="98">
        <f>2.82*18.419*12*1.302</f>
        <v>811.53524592000008</v>
      </c>
      <c r="K64" s="98">
        <v>0</v>
      </c>
      <c r="L64" s="98">
        <f>J64</f>
        <v>811.53524592000008</v>
      </c>
      <c r="M64" s="98">
        <v>0</v>
      </c>
      <c r="N64" s="98">
        <f t="shared" ref="N64:N72" si="23">H64+J64+L64</f>
        <v>2399.3804918400001</v>
      </c>
      <c r="O64" s="98">
        <f t="shared" ref="O64:O72" si="24">I64+K64+M64</f>
        <v>0</v>
      </c>
      <c r="P64" s="36"/>
      <c r="Z64" s="98">
        <f>ROUND((16.5*2.82*5*1.302+18.419*2.82*7*1.302),2)</f>
        <v>776.31</v>
      </c>
      <c r="AA64" s="98">
        <v>0</v>
      </c>
      <c r="AB64" s="98">
        <f>2.82*18.419*12*1.302</f>
        <v>811.53524592000008</v>
      </c>
      <c r="AC64" s="98">
        <v>0</v>
      </c>
      <c r="AD64" s="98">
        <f>AB64</f>
        <v>811.53524592000008</v>
      </c>
      <c r="AE64" s="98">
        <v>0</v>
      </c>
      <c r="AF64" s="98">
        <f t="shared" ref="AF64:AF72" si="25">Z64+AB64+AD64</f>
        <v>2399.3804918400001</v>
      </c>
      <c r="AG64" s="98">
        <f t="shared" ref="AG64:AG72" si="26">AA64+AC64+AE64</f>
        <v>0</v>
      </c>
    </row>
    <row r="65" spans="1:33" s="12" customFormat="1" ht="101.25" hidden="1" customHeight="1" x14ac:dyDescent="0.25">
      <c r="A65" s="95" t="s">
        <v>144</v>
      </c>
      <c r="B65" s="132" t="s">
        <v>279</v>
      </c>
      <c r="C65" s="110" t="s">
        <v>246</v>
      </c>
      <c r="D65" s="110" t="s">
        <v>146</v>
      </c>
      <c r="E65" s="110" t="s">
        <v>297</v>
      </c>
      <c r="F65" s="110" t="s">
        <v>108</v>
      </c>
      <c r="G65" s="96" t="s">
        <v>93</v>
      </c>
      <c r="H65" s="98">
        <v>193</v>
      </c>
      <c r="I65" s="98">
        <v>193</v>
      </c>
      <c r="J65" s="98">
        <v>211</v>
      </c>
      <c r="K65" s="98">
        <v>211</v>
      </c>
      <c r="L65" s="98">
        <v>211</v>
      </c>
      <c r="M65" s="98">
        <v>211</v>
      </c>
      <c r="N65" s="98">
        <f t="shared" si="23"/>
        <v>615</v>
      </c>
      <c r="O65" s="98">
        <f t="shared" si="24"/>
        <v>615</v>
      </c>
      <c r="P65" s="49"/>
      <c r="Z65" s="98">
        <v>193</v>
      </c>
      <c r="AA65" s="98">
        <v>193</v>
      </c>
      <c r="AB65" s="98">
        <v>211</v>
      </c>
      <c r="AC65" s="98">
        <v>211</v>
      </c>
      <c r="AD65" s="98">
        <v>211</v>
      </c>
      <c r="AE65" s="98">
        <v>211</v>
      </c>
      <c r="AF65" s="98">
        <f t="shared" si="25"/>
        <v>615</v>
      </c>
      <c r="AG65" s="98">
        <f t="shared" si="26"/>
        <v>615</v>
      </c>
    </row>
    <row r="66" spans="1:33" s="16" customFormat="1" ht="165.75" hidden="1" customHeight="1" x14ac:dyDescent="0.25">
      <c r="A66" s="95" t="s">
        <v>145</v>
      </c>
      <c r="B66" s="304" t="s">
        <v>331</v>
      </c>
      <c r="C66" s="110" t="s">
        <v>311</v>
      </c>
      <c r="D66" s="110" t="s">
        <v>146</v>
      </c>
      <c r="E66" s="110" t="s">
        <v>358</v>
      </c>
      <c r="F66" s="110" t="s">
        <v>108</v>
      </c>
      <c r="G66" s="96" t="s">
        <v>93</v>
      </c>
      <c r="H66" s="98">
        <f>7.25*18.419*7*1.302</f>
        <v>1217.0630535000003</v>
      </c>
      <c r="I66" s="98">
        <v>0</v>
      </c>
      <c r="J66" s="98">
        <f>7.25*18.419*12*1.302</f>
        <v>2086.3938060000005</v>
      </c>
      <c r="K66" s="98">
        <v>0</v>
      </c>
      <c r="L66" s="98">
        <f>J66</f>
        <v>2086.3938060000005</v>
      </c>
      <c r="M66" s="98">
        <v>0</v>
      </c>
      <c r="N66" s="98">
        <f t="shared" si="23"/>
        <v>5389.8506655000019</v>
      </c>
      <c r="O66" s="98">
        <f t="shared" si="24"/>
        <v>0</v>
      </c>
      <c r="P66" s="36"/>
      <c r="Z66" s="98">
        <f>7.25*18.419*7*1.302</f>
        <v>1217.0630535000003</v>
      </c>
      <c r="AA66" s="98">
        <v>0</v>
      </c>
      <c r="AB66" s="98">
        <f>7.25*18.419*12*1.302</f>
        <v>2086.3938060000005</v>
      </c>
      <c r="AC66" s="98">
        <v>0</v>
      </c>
      <c r="AD66" s="98">
        <f>AB66</f>
        <v>2086.3938060000005</v>
      </c>
      <c r="AE66" s="98">
        <v>0</v>
      </c>
      <c r="AF66" s="98">
        <f t="shared" si="25"/>
        <v>5389.8506655000019</v>
      </c>
      <c r="AG66" s="98">
        <f t="shared" si="26"/>
        <v>0</v>
      </c>
    </row>
    <row r="67" spans="1:33" s="12" customFormat="1" ht="176.25" hidden="1" customHeight="1" x14ac:dyDescent="0.25">
      <c r="A67" s="95" t="s">
        <v>147</v>
      </c>
      <c r="B67" s="305"/>
      <c r="C67" s="110" t="s">
        <v>312</v>
      </c>
      <c r="D67" s="110" t="s">
        <v>146</v>
      </c>
      <c r="E67" s="110" t="s">
        <v>278</v>
      </c>
      <c r="F67" s="110" t="s">
        <v>108</v>
      </c>
      <c r="G67" s="96" t="s">
        <v>93</v>
      </c>
      <c r="H67" s="98">
        <f>7*18.419*7*1.302</f>
        <v>1175.095362</v>
      </c>
      <c r="I67" s="98">
        <v>0</v>
      </c>
      <c r="J67" s="98">
        <f>H67/7*12</f>
        <v>2014.449192</v>
      </c>
      <c r="K67" s="98">
        <v>0</v>
      </c>
      <c r="L67" s="98">
        <f>H67/7*12</f>
        <v>2014.449192</v>
      </c>
      <c r="M67" s="98">
        <v>0</v>
      </c>
      <c r="N67" s="98">
        <f t="shared" si="23"/>
        <v>5203.9937460000001</v>
      </c>
      <c r="O67" s="98">
        <f t="shared" si="24"/>
        <v>0</v>
      </c>
      <c r="P67" s="49"/>
      <c r="Z67" s="98">
        <f>7*18.419*7*1.302</f>
        <v>1175.095362</v>
      </c>
      <c r="AA67" s="98">
        <v>0</v>
      </c>
      <c r="AB67" s="98">
        <f>Z67/7*12</f>
        <v>2014.449192</v>
      </c>
      <c r="AC67" s="98">
        <v>0</v>
      </c>
      <c r="AD67" s="98">
        <f>Z67/7*12</f>
        <v>2014.449192</v>
      </c>
      <c r="AE67" s="98">
        <v>0</v>
      </c>
      <c r="AF67" s="98">
        <f t="shared" si="25"/>
        <v>5203.9937460000001</v>
      </c>
      <c r="AG67" s="98">
        <f t="shared" si="26"/>
        <v>0</v>
      </c>
    </row>
    <row r="68" spans="1:33" s="16" customFormat="1" ht="108.75" hidden="1" customHeight="1" x14ac:dyDescent="0.25">
      <c r="A68" s="95" t="s">
        <v>148</v>
      </c>
      <c r="B68" s="306"/>
      <c r="C68" s="110" t="s">
        <v>313</v>
      </c>
      <c r="D68" s="110" t="s">
        <v>146</v>
      </c>
      <c r="E68" s="110" t="s">
        <v>277</v>
      </c>
      <c r="F68" s="110" t="s">
        <v>108</v>
      </c>
      <c r="G68" s="96" t="s">
        <v>93</v>
      </c>
      <c r="H68" s="98">
        <f>ROUND((0.5*18.419*7*1.302),2)</f>
        <v>83.94</v>
      </c>
      <c r="I68" s="98">
        <v>0</v>
      </c>
      <c r="J68" s="98">
        <f>H68/7*12</f>
        <v>143.89714285714285</v>
      </c>
      <c r="K68" s="98">
        <v>0</v>
      </c>
      <c r="L68" s="98">
        <f>H68/7*12</f>
        <v>143.89714285714285</v>
      </c>
      <c r="M68" s="98">
        <v>0</v>
      </c>
      <c r="N68" s="98">
        <f t="shared" si="23"/>
        <v>371.7342857142857</v>
      </c>
      <c r="O68" s="98">
        <f t="shared" si="24"/>
        <v>0</v>
      </c>
      <c r="P68" s="36"/>
      <c r="Z68" s="98">
        <f>ROUND((0.5*18.419*7*1.302),2)</f>
        <v>83.94</v>
      </c>
      <c r="AA68" s="98">
        <v>0</v>
      </c>
      <c r="AB68" s="98">
        <f>Z68/7*12</f>
        <v>143.89714285714285</v>
      </c>
      <c r="AC68" s="98">
        <v>0</v>
      </c>
      <c r="AD68" s="98">
        <f>Z68/7*12</f>
        <v>143.89714285714285</v>
      </c>
      <c r="AE68" s="98">
        <v>0</v>
      </c>
      <c r="AF68" s="98">
        <f t="shared" si="25"/>
        <v>371.7342857142857</v>
      </c>
      <c r="AG68" s="98">
        <f t="shared" si="26"/>
        <v>0</v>
      </c>
    </row>
    <row r="69" spans="1:33" s="16" customFormat="1" ht="150.75" hidden="1" customHeight="1" x14ac:dyDescent="0.25">
      <c r="A69" s="95" t="s">
        <v>149</v>
      </c>
      <c r="B69" s="132" t="s">
        <v>324</v>
      </c>
      <c r="C69" s="110" t="s">
        <v>247</v>
      </c>
      <c r="D69" s="110" t="s">
        <v>138</v>
      </c>
      <c r="E69" s="110" t="s">
        <v>276</v>
      </c>
      <c r="F69" s="110" t="s">
        <v>108</v>
      </c>
      <c r="G69" s="96" t="s">
        <v>93</v>
      </c>
      <c r="H69" s="98">
        <f>290+55.9+265.5/1.25*0.25+266.8</f>
        <v>665.8</v>
      </c>
      <c r="I69" s="98">
        <f>H69</f>
        <v>665.8</v>
      </c>
      <c r="J69" s="98">
        <f>H69/7*12</f>
        <v>1141.3714285714286</v>
      </c>
      <c r="K69" s="98">
        <f>J69</f>
        <v>1141.3714285714286</v>
      </c>
      <c r="L69" s="98">
        <f>J69</f>
        <v>1141.3714285714286</v>
      </c>
      <c r="M69" s="98">
        <f>L69</f>
        <v>1141.3714285714286</v>
      </c>
      <c r="N69" s="98">
        <f t="shared" si="23"/>
        <v>2948.5428571428574</v>
      </c>
      <c r="O69" s="98">
        <f t="shared" si="24"/>
        <v>2948.5428571428574</v>
      </c>
      <c r="P69" s="36"/>
      <c r="Z69" s="98">
        <f>290+55.9+265.5/1.25*0.25+266.8</f>
        <v>665.8</v>
      </c>
      <c r="AA69" s="98">
        <f>Z69</f>
        <v>665.8</v>
      </c>
      <c r="AB69" s="98">
        <f>Z69/7*12</f>
        <v>1141.3714285714286</v>
      </c>
      <c r="AC69" s="98">
        <f>AB69</f>
        <v>1141.3714285714286</v>
      </c>
      <c r="AD69" s="98">
        <f>AB69</f>
        <v>1141.3714285714286</v>
      </c>
      <c r="AE69" s="98">
        <f>AD69</f>
        <v>1141.3714285714286</v>
      </c>
      <c r="AF69" s="98">
        <f t="shared" si="25"/>
        <v>2948.5428571428574</v>
      </c>
      <c r="AG69" s="98">
        <f t="shared" si="26"/>
        <v>2948.5428571428574</v>
      </c>
    </row>
    <row r="70" spans="1:33" s="16" customFormat="1" ht="80.25" hidden="1" customHeight="1" x14ac:dyDescent="0.25">
      <c r="A70" s="95" t="s">
        <v>150</v>
      </c>
      <c r="B70" s="132" t="s">
        <v>325</v>
      </c>
      <c r="C70" s="110" t="s">
        <v>247</v>
      </c>
      <c r="D70" s="110" t="s">
        <v>95</v>
      </c>
      <c r="E70" s="110" t="s">
        <v>275</v>
      </c>
      <c r="F70" s="110" t="s">
        <v>108</v>
      </c>
      <c r="G70" s="96" t="s">
        <v>93</v>
      </c>
      <c r="H70" s="98">
        <f>9.2*26.663*12*1.302-3.5*16.5*12*1.302</f>
        <v>2930.2749503999999</v>
      </c>
      <c r="I70" s="98">
        <f>H70</f>
        <v>2930.2749503999999</v>
      </c>
      <c r="J70" s="98">
        <f>H70</f>
        <v>2930.2749503999999</v>
      </c>
      <c r="K70" s="98">
        <f>J70</f>
        <v>2930.2749503999999</v>
      </c>
      <c r="L70" s="98">
        <f>J70</f>
        <v>2930.2749503999999</v>
      </c>
      <c r="M70" s="98">
        <f>L70</f>
        <v>2930.2749503999999</v>
      </c>
      <c r="N70" s="98">
        <f t="shared" si="23"/>
        <v>8790.8248511999991</v>
      </c>
      <c r="O70" s="98">
        <f t="shared" si="24"/>
        <v>8790.8248511999991</v>
      </c>
      <c r="P70" s="36"/>
      <c r="Z70" s="98">
        <f>9.2*26.663*12*1.302-3.5*16.5*12*1.302</f>
        <v>2930.2749503999999</v>
      </c>
      <c r="AA70" s="98">
        <f>Z70</f>
        <v>2930.2749503999999</v>
      </c>
      <c r="AB70" s="98">
        <f>Z70</f>
        <v>2930.2749503999999</v>
      </c>
      <c r="AC70" s="98">
        <f>AB70</f>
        <v>2930.2749503999999</v>
      </c>
      <c r="AD70" s="98">
        <f>AB70</f>
        <v>2930.2749503999999</v>
      </c>
      <c r="AE70" s="98">
        <f>AD70</f>
        <v>2930.2749503999999</v>
      </c>
      <c r="AF70" s="98">
        <f t="shared" si="25"/>
        <v>8790.8248511999991</v>
      </c>
      <c r="AG70" s="98">
        <f t="shared" si="26"/>
        <v>8790.8248511999991</v>
      </c>
    </row>
    <row r="71" spans="1:33" s="16" customFormat="1" ht="126.75" hidden="1" customHeight="1" x14ac:dyDescent="0.25">
      <c r="A71" s="95" t="s">
        <v>151</v>
      </c>
      <c r="B71" s="132" t="s">
        <v>326</v>
      </c>
      <c r="C71" s="110" t="s">
        <v>247</v>
      </c>
      <c r="D71" s="110" t="s">
        <v>138</v>
      </c>
      <c r="E71" s="110" t="s">
        <v>274</v>
      </c>
      <c r="F71" s="110" t="s">
        <v>108</v>
      </c>
      <c r="G71" s="96" t="s">
        <v>93</v>
      </c>
      <c r="H71" s="98">
        <f>14.85*1.03*12*1.302/2+0.5*26.663*12*1.302+0.12*16.5*5*1.302+0.12*7*18.419*1.302</f>
        <v>360.81409392</v>
      </c>
      <c r="I71" s="98">
        <f>H71</f>
        <v>360.81409392</v>
      </c>
      <c r="J71" s="98">
        <f>14.85*1.03*12*1.302/2+0.5*26.663*12*1.302+0.12*16.5*5*1.302+0.12*7*18.419*1.302</f>
        <v>360.81409392</v>
      </c>
      <c r="K71" s="98">
        <f>J71</f>
        <v>360.81409392</v>
      </c>
      <c r="L71" s="98">
        <f>14.85*1.03*12*1.302/2+0.5*26.663*12*1.302+0.12*16.5*5*1.302+0.12*7*18.419*1.302</f>
        <v>360.81409392</v>
      </c>
      <c r="M71" s="98">
        <f>L71</f>
        <v>360.81409392</v>
      </c>
      <c r="N71" s="98">
        <f t="shared" si="23"/>
        <v>1082.44228176</v>
      </c>
      <c r="O71" s="98">
        <f t="shared" si="24"/>
        <v>1082.44228176</v>
      </c>
      <c r="P71" s="36"/>
      <c r="Z71" s="98">
        <f>14.85*1.03*12*1.302/2+0.5*26.663*12*1.302+0.12*16.5*5*1.302+0.12*7*18.419*1.302</f>
        <v>360.81409392</v>
      </c>
      <c r="AA71" s="98">
        <f>Z71</f>
        <v>360.81409392</v>
      </c>
      <c r="AB71" s="98">
        <f>14.85*1.03*12*1.302/2+0.5*26.663*12*1.302+0.12*16.5*5*1.302+0.12*7*18.419*1.302</f>
        <v>360.81409392</v>
      </c>
      <c r="AC71" s="98">
        <f>AB71</f>
        <v>360.81409392</v>
      </c>
      <c r="AD71" s="98">
        <f>14.85*1.03*12*1.302/2+0.5*26.663*12*1.302+0.12*16.5*5*1.302+0.12*7*18.419*1.302</f>
        <v>360.81409392</v>
      </c>
      <c r="AE71" s="98">
        <f>AD71</f>
        <v>360.81409392</v>
      </c>
      <c r="AF71" s="98">
        <f t="shared" si="25"/>
        <v>1082.44228176</v>
      </c>
      <c r="AG71" s="98">
        <f t="shared" si="26"/>
        <v>1082.44228176</v>
      </c>
    </row>
    <row r="72" spans="1:33" s="16" customFormat="1" ht="183.75" hidden="1" customHeight="1" x14ac:dyDescent="0.25">
      <c r="A72" s="95" t="s">
        <v>223</v>
      </c>
      <c r="B72" s="132" t="s">
        <v>272</v>
      </c>
      <c r="C72" s="110" t="s">
        <v>314</v>
      </c>
      <c r="D72" s="110" t="s">
        <v>95</v>
      </c>
      <c r="E72" s="110" t="s">
        <v>273</v>
      </c>
      <c r="F72" s="110" t="s">
        <v>108</v>
      </c>
      <c r="G72" s="96" t="s">
        <v>93</v>
      </c>
      <c r="H72" s="98">
        <f>7*18.419*5*1.302</f>
        <v>839.35383000000002</v>
      </c>
      <c r="I72" s="98">
        <v>0</v>
      </c>
      <c r="J72" s="98">
        <f>H72/5*12</f>
        <v>2014.449192</v>
      </c>
      <c r="K72" s="98">
        <v>0</v>
      </c>
      <c r="L72" s="98">
        <f>J72</f>
        <v>2014.449192</v>
      </c>
      <c r="M72" s="98">
        <v>0</v>
      </c>
      <c r="N72" s="98">
        <f t="shared" si="23"/>
        <v>4868.2522140000001</v>
      </c>
      <c r="O72" s="98">
        <f t="shared" si="24"/>
        <v>0</v>
      </c>
      <c r="P72" s="36"/>
      <c r="Z72" s="98">
        <f>7*18.419*5*1.302</f>
        <v>839.35383000000002</v>
      </c>
      <c r="AA72" s="98">
        <v>0</v>
      </c>
      <c r="AB72" s="98">
        <f>Z72/5*12</f>
        <v>2014.449192</v>
      </c>
      <c r="AC72" s="98">
        <v>0</v>
      </c>
      <c r="AD72" s="98">
        <f>AB72</f>
        <v>2014.449192</v>
      </c>
      <c r="AE72" s="98">
        <v>0</v>
      </c>
      <c r="AF72" s="98">
        <f t="shared" si="25"/>
        <v>4868.2522140000001</v>
      </c>
      <c r="AG72" s="98">
        <f t="shared" si="26"/>
        <v>0</v>
      </c>
    </row>
    <row r="73" spans="1:33" s="16" customFormat="1" ht="91.5" hidden="1" customHeight="1" x14ac:dyDescent="0.25">
      <c r="A73" s="95" t="s">
        <v>36</v>
      </c>
      <c r="B73" s="110" t="s">
        <v>251</v>
      </c>
      <c r="C73" s="135" t="s">
        <v>163</v>
      </c>
      <c r="D73" s="135" t="s">
        <v>163</v>
      </c>
      <c r="E73" s="96" t="s">
        <v>163</v>
      </c>
      <c r="F73" s="96" t="s">
        <v>163</v>
      </c>
      <c r="G73" s="96" t="s">
        <v>93</v>
      </c>
      <c r="H73" s="285" t="s">
        <v>163</v>
      </c>
      <c r="I73" s="286"/>
      <c r="J73" s="285" t="s">
        <v>163</v>
      </c>
      <c r="K73" s="286"/>
      <c r="L73" s="285" t="s">
        <v>163</v>
      </c>
      <c r="M73" s="286"/>
      <c r="N73" s="285" t="s">
        <v>163</v>
      </c>
      <c r="O73" s="286"/>
      <c r="P73" s="36"/>
      <c r="Z73" s="285" t="s">
        <v>163</v>
      </c>
      <c r="AA73" s="286"/>
      <c r="AB73" s="285" t="s">
        <v>163</v>
      </c>
      <c r="AC73" s="286"/>
      <c r="AD73" s="285" t="s">
        <v>163</v>
      </c>
      <c r="AE73" s="286"/>
      <c r="AF73" s="285" t="s">
        <v>163</v>
      </c>
      <c r="AG73" s="286"/>
    </row>
    <row r="74" spans="1:33" s="12" customFormat="1" ht="123" hidden="1" customHeight="1" x14ac:dyDescent="0.25">
      <c r="A74" s="136" t="s">
        <v>152</v>
      </c>
      <c r="B74" s="132" t="s">
        <v>250</v>
      </c>
      <c r="C74" s="135" t="s">
        <v>252</v>
      </c>
      <c r="D74" s="110" t="s">
        <v>95</v>
      </c>
      <c r="E74" s="110" t="s">
        <v>166</v>
      </c>
      <c r="F74" s="110" t="s">
        <v>216</v>
      </c>
      <c r="G74" s="96" t="s">
        <v>93</v>
      </c>
      <c r="H74" s="287">
        <v>8.5299999999999994</v>
      </c>
      <c r="I74" s="288"/>
      <c r="J74" s="287">
        <v>8.5399999999999991</v>
      </c>
      <c r="K74" s="288"/>
      <c r="L74" s="287">
        <v>8.5500000000000007</v>
      </c>
      <c r="M74" s="288"/>
      <c r="N74" s="287">
        <v>8.5500000000000007</v>
      </c>
      <c r="O74" s="288"/>
      <c r="P74" s="49"/>
      <c r="Z74" s="287">
        <v>8.5299999999999994</v>
      </c>
      <c r="AA74" s="288"/>
      <c r="AB74" s="287">
        <v>8.5399999999999991</v>
      </c>
      <c r="AC74" s="288"/>
      <c r="AD74" s="287">
        <v>8.5500000000000007</v>
      </c>
      <c r="AE74" s="288"/>
      <c r="AF74" s="287">
        <v>8.5500000000000007</v>
      </c>
      <c r="AG74" s="288"/>
    </row>
    <row r="75" spans="1:33" s="12" customFormat="1" ht="112.5" hidden="1" customHeight="1" x14ac:dyDescent="0.25">
      <c r="A75" s="137" t="s">
        <v>153</v>
      </c>
      <c r="B75" s="132" t="s">
        <v>249</v>
      </c>
      <c r="C75" s="135" t="s">
        <v>252</v>
      </c>
      <c r="D75" s="110" t="s">
        <v>95</v>
      </c>
      <c r="E75" s="110" t="s">
        <v>167</v>
      </c>
      <c r="F75" s="110" t="s">
        <v>217</v>
      </c>
      <c r="G75" s="96" t="s">
        <v>93</v>
      </c>
      <c r="H75" s="287">
        <v>12.82</v>
      </c>
      <c r="I75" s="288"/>
      <c r="J75" s="287">
        <v>12.83</v>
      </c>
      <c r="K75" s="288"/>
      <c r="L75" s="287">
        <v>12.85</v>
      </c>
      <c r="M75" s="288"/>
      <c r="N75" s="287">
        <v>12.85</v>
      </c>
      <c r="O75" s="288"/>
      <c r="P75" s="49"/>
      <c r="Z75" s="287">
        <v>12.82</v>
      </c>
      <c r="AA75" s="288"/>
      <c r="AB75" s="287">
        <v>12.83</v>
      </c>
      <c r="AC75" s="288"/>
      <c r="AD75" s="287">
        <v>12.85</v>
      </c>
      <c r="AE75" s="288"/>
      <c r="AF75" s="287">
        <v>12.85</v>
      </c>
      <c r="AG75" s="288"/>
    </row>
    <row r="76" spans="1:33" s="12" customFormat="1" ht="100.5" hidden="1" customHeight="1" x14ac:dyDescent="0.25">
      <c r="A76" s="137" t="s">
        <v>154</v>
      </c>
      <c r="B76" s="132" t="s">
        <v>248</v>
      </c>
      <c r="C76" s="135" t="s">
        <v>252</v>
      </c>
      <c r="D76" s="110" t="s">
        <v>95</v>
      </c>
      <c r="E76" s="110" t="s">
        <v>168</v>
      </c>
      <c r="F76" s="110" t="s">
        <v>218</v>
      </c>
      <c r="G76" s="96" t="s">
        <v>93</v>
      </c>
      <c r="H76" s="287">
        <v>84.99</v>
      </c>
      <c r="I76" s="288"/>
      <c r="J76" s="287">
        <v>85</v>
      </c>
      <c r="K76" s="288"/>
      <c r="L76" s="287">
        <v>85.2</v>
      </c>
      <c r="M76" s="288"/>
      <c r="N76" s="287">
        <v>85.2</v>
      </c>
      <c r="O76" s="288"/>
      <c r="P76" s="49"/>
      <c r="Z76" s="287">
        <v>84.99</v>
      </c>
      <c r="AA76" s="288"/>
      <c r="AB76" s="287">
        <v>85</v>
      </c>
      <c r="AC76" s="288"/>
      <c r="AD76" s="287">
        <v>85.2</v>
      </c>
      <c r="AE76" s="288"/>
      <c r="AF76" s="287">
        <v>85.2</v>
      </c>
      <c r="AG76" s="288"/>
    </row>
    <row r="77" spans="1:33" s="12" customFormat="1" ht="276" hidden="1" customHeight="1" x14ac:dyDescent="0.25">
      <c r="A77" s="95" t="s">
        <v>37</v>
      </c>
      <c r="B77" s="110" t="s">
        <v>219</v>
      </c>
      <c r="C77" s="110" t="s">
        <v>253</v>
      </c>
      <c r="D77" s="110" t="s">
        <v>95</v>
      </c>
      <c r="E77" s="110" t="s">
        <v>254</v>
      </c>
      <c r="F77" s="110" t="s">
        <v>94</v>
      </c>
      <c r="G77" s="96" t="s">
        <v>93</v>
      </c>
      <c r="H77" s="285" t="s">
        <v>91</v>
      </c>
      <c r="I77" s="286"/>
      <c r="J77" s="285" t="s">
        <v>91</v>
      </c>
      <c r="K77" s="286"/>
      <c r="L77" s="285" t="s">
        <v>91</v>
      </c>
      <c r="M77" s="286"/>
      <c r="N77" s="285" t="s">
        <v>91</v>
      </c>
      <c r="O77" s="286" t="s">
        <v>91</v>
      </c>
      <c r="P77" s="49"/>
      <c r="Z77" s="285" t="s">
        <v>91</v>
      </c>
      <c r="AA77" s="286"/>
      <c r="AB77" s="285" t="s">
        <v>91</v>
      </c>
      <c r="AC77" s="286"/>
      <c r="AD77" s="285" t="s">
        <v>91</v>
      </c>
      <c r="AE77" s="286"/>
      <c r="AF77" s="285" t="s">
        <v>91</v>
      </c>
      <c r="AG77" s="286" t="s">
        <v>91</v>
      </c>
    </row>
    <row r="78" spans="1:33" s="12" customFormat="1" ht="87" hidden="1" customHeight="1" x14ac:dyDescent="0.25">
      <c r="A78" s="95" t="s">
        <v>38</v>
      </c>
      <c r="B78" s="110" t="s">
        <v>255</v>
      </c>
      <c r="C78" s="110" t="s">
        <v>256</v>
      </c>
      <c r="D78" s="110" t="s">
        <v>95</v>
      </c>
      <c r="E78" s="110" t="s">
        <v>258</v>
      </c>
      <c r="F78" s="110" t="s">
        <v>257</v>
      </c>
      <c r="G78" s="96" t="s">
        <v>93</v>
      </c>
      <c r="H78" s="285" t="s">
        <v>91</v>
      </c>
      <c r="I78" s="286"/>
      <c r="J78" s="285" t="s">
        <v>91</v>
      </c>
      <c r="K78" s="286"/>
      <c r="L78" s="285" t="s">
        <v>91</v>
      </c>
      <c r="M78" s="286"/>
      <c r="N78" s="285" t="s">
        <v>91</v>
      </c>
      <c r="O78" s="286" t="s">
        <v>91</v>
      </c>
      <c r="P78" s="49"/>
      <c r="Z78" s="285" t="s">
        <v>91</v>
      </c>
      <c r="AA78" s="286"/>
      <c r="AB78" s="285" t="s">
        <v>91</v>
      </c>
      <c r="AC78" s="286"/>
      <c r="AD78" s="285" t="s">
        <v>91</v>
      </c>
      <c r="AE78" s="286"/>
      <c r="AF78" s="285" t="s">
        <v>91</v>
      </c>
      <c r="AG78" s="286" t="s">
        <v>91</v>
      </c>
    </row>
    <row r="79" spans="1:33" s="16" customFormat="1" ht="49.5" hidden="1" customHeight="1" x14ac:dyDescent="0.25">
      <c r="A79" s="95" t="s">
        <v>225</v>
      </c>
      <c r="B79" s="110" t="s">
        <v>295</v>
      </c>
      <c r="C79" s="110" t="s">
        <v>163</v>
      </c>
      <c r="D79" s="110" t="s">
        <v>163</v>
      </c>
      <c r="E79" s="110" t="s">
        <v>163</v>
      </c>
      <c r="F79" s="110" t="s">
        <v>163</v>
      </c>
      <c r="G79" s="96" t="s">
        <v>93</v>
      </c>
      <c r="H79" s="98">
        <f>H80</f>
        <v>257.79599999999999</v>
      </c>
      <c r="I79" s="98">
        <f t="shared" ref="I79:O79" si="27">I80</f>
        <v>0</v>
      </c>
      <c r="J79" s="98">
        <f t="shared" si="27"/>
        <v>257.79599999999999</v>
      </c>
      <c r="K79" s="98">
        <f t="shared" si="27"/>
        <v>0</v>
      </c>
      <c r="L79" s="98">
        <f t="shared" si="27"/>
        <v>257.79599999999999</v>
      </c>
      <c r="M79" s="98">
        <f t="shared" si="27"/>
        <v>0</v>
      </c>
      <c r="N79" s="98">
        <f t="shared" si="27"/>
        <v>773.38799999999992</v>
      </c>
      <c r="O79" s="98">
        <f t="shared" si="27"/>
        <v>0</v>
      </c>
      <c r="P79" s="36"/>
      <c r="Z79" s="98">
        <f>Z80</f>
        <v>257.79599999999999</v>
      </c>
      <c r="AA79" s="98">
        <f t="shared" ref="AA79:AG79" si="28">AA80</f>
        <v>0</v>
      </c>
      <c r="AB79" s="98">
        <f t="shared" si="28"/>
        <v>257.79599999999999</v>
      </c>
      <c r="AC79" s="98">
        <f t="shared" si="28"/>
        <v>0</v>
      </c>
      <c r="AD79" s="98">
        <f t="shared" si="28"/>
        <v>257.79599999999999</v>
      </c>
      <c r="AE79" s="98">
        <f t="shared" si="28"/>
        <v>0</v>
      </c>
      <c r="AF79" s="98">
        <f t="shared" si="28"/>
        <v>773.38799999999992</v>
      </c>
      <c r="AG79" s="98">
        <f t="shared" si="28"/>
        <v>0</v>
      </c>
    </row>
    <row r="80" spans="1:33" s="12" customFormat="1" ht="79.5" hidden="1" customHeight="1" x14ac:dyDescent="0.25">
      <c r="A80" s="95" t="s">
        <v>226</v>
      </c>
      <c r="B80" s="132" t="s">
        <v>271</v>
      </c>
      <c r="C80" s="110" t="s">
        <v>315</v>
      </c>
      <c r="D80" s="110" t="s">
        <v>95</v>
      </c>
      <c r="E80" s="110" t="s">
        <v>170</v>
      </c>
      <c r="F80" s="110" t="s">
        <v>108</v>
      </c>
      <c r="G80" s="96" t="s">
        <v>93</v>
      </c>
      <c r="H80" s="98">
        <f>16.5*12*1.302</f>
        <v>257.79599999999999</v>
      </c>
      <c r="I80" s="98">
        <v>0</v>
      </c>
      <c r="J80" s="98">
        <f>16.5*12*1.302</f>
        <v>257.79599999999999</v>
      </c>
      <c r="K80" s="98">
        <v>0</v>
      </c>
      <c r="L80" s="98">
        <f>16.5*12*1.302</f>
        <v>257.79599999999999</v>
      </c>
      <c r="M80" s="98">
        <v>0</v>
      </c>
      <c r="N80" s="98">
        <f>H80+J80+L80</f>
        <v>773.38799999999992</v>
      </c>
      <c r="O80" s="98">
        <f>I80+K80+M80</f>
        <v>0</v>
      </c>
      <c r="P80" s="49"/>
      <c r="Z80" s="98">
        <f>16.5*12*1.302</f>
        <v>257.79599999999999</v>
      </c>
      <c r="AA80" s="98">
        <v>0</v>
      </c>
      <c r="AB80" s="98">
        <f>16.5*12*1.302</f>
        <v>257.79599999999999</v>
      </c>
      <c r="AC80" s="98">
        <v>0</v>
      </c>
      <c r="AD80" s="98">
        <f>16.5*12*1.302</f>
        <v>257.79599999999999</v>
      </c>
      <c r="AE80" s="98">
        <v>0</v>
      </c>
      <c r="AF80" s="98">
        <f>Z80+AB80+AD80</f>
        <v>773.38799999999992</v>
      </c>
      <c r="AG80" s="98">
        <f>AA80+AC80+AE80</f>
        <v>0</v>
      </c>
    </row>
    <row r="81" spans="1:33" s="16" customFormat="1" ht="111" hidden="1" customHeight="1" x14ac:dyDescent="0.25">
      <c r="A81" s="95" t="s">
        <v>169</v>
      </c>
      <c r="B81" s="110" t="s">
        <v>21</v>
      </c>
      <c r="C81" s="110" t="s">
        <v>88</v>
      </c>
      <c r="D81" s="110" t="s">
        <v>95</v>
      </c>
      <c r="E81" s="110" t="s">
        <v>238</v>
      </c>
      <c r="F81" s="110" t="s">
        <v>259</v>
      </c>
      <c r="G81" s="96" t="s">
        <v>93</v>
      </c>
      <c r="H81" s="285" t="s">
        <v>91</v>
      </c>
      <c r="I81" s="286"/>
      <c r="J81" s="285" t="s">
        <v>91</v>
      </c>
      <c r="K81" s="286"/>
      <c r="L81" s="285" t="s">
        <v>91</v>
      </c>
      <c r="M81" s="286"/>
      <c r="N81" s="285" t="s">
        <v>91</v>
      </c>
      <c r="O81" s="286"/>
      <c r="P81" s="36"/>
      <c r="Z81" s="285" t="s">
        <v>91</v>
      </c>
      <c r="AA81" s="286"/>
      <c r="AB81" s="285" t="s">
        <v>91</v>
      </c>
      <c r="AC81" s="286"/>
      <c r="AD81" s="285" t="s">
        <v>91</v>
      </c>
      <c r="AE81" s="286"/>
      <c r="AF81" s="285" t="s">
        <v>91</v>
      </c>
      <c r="AG81" s="286"/>
    </row>
    <row r="82" spans="1:33" s="16" customFormat="1" ht="69" hidden="1" customHeight="1" x14ac:dyDescent="0.25">
      <c r="A82" s="95" t="s">
        <v>39</v>
      </c>
      <c r="B82" s="110" t="s">
        <v>155</v>
      </c>
      <c r="C82" s="96" t="s">
        <v>163</v>
      </c>
      <c r="D82" s="96" t="s">
        <v>163</v>
      </c>
      <c r="E82" s="96" t="s">
        <v>163</v>
      </c>
      <c r="F82" s="96" t="s">
        <v>163</v>
      </c>
      <c r="G82" s="96" t="s">
        <v>93</v>
      </c>
      <c r="H82" s="98" t="s">
        <v>163</v>
      </c>
      <c r="I82" s="98" t="s">
        <v>163</v>
      </c>
      <c r="J82" s="98" t="s">
        <v>163</v>
      </c>
      <c r="K82" s="98" t="s">
        <v>163</v>
      </c>
      <c r="L82" s="98" t="s">
        <v>163</v>
      </c>
      <c r="M82" s="98" t="s">
        <v>163</v>
      </c>
      <c r="N82" s="98" t="s">
        <v>163</v>
      </c>
      <c r="O82" s="98" t="s">
        <v>163</v>
      </c>
      <c r="P82" s="36"/>
      <c r="Z82" s="98" t="s">
        <v>163</v>
      </c>
      <c r="AA82" s="98" t="s">
        <v>163</v>
      </c>
      <c r="AB82" s="98" t="s">
        <v>163</v>
      </c>
      <c r="AC82" s="98" t="s">
        <v>163</v>
      </c>
      <c r="AD82" s="98" t="s">
        <v>163</v>
      </c>
      <c r="AE82" s="98" t="s">
        <v>163</v>
      </c>
      <c r="AF82" s="98" t="s">
        <v>163</v>
      </c>
      <c r="AG82" s="98" t="s">
        <v>163</v>
      </c>
    </row>
    <row r="83" spans="1:33" s="16" customFormat="1" ht="249" hidden="1" customHeight="1" x14ac:dyDescent="0.25">
      <c r="A83" s="95" t="s">
        <v>227</v>
      </c>
      <c r="B83" s="132" t="s">
        <v>220</v>
      </c>
      <c r="C83" s="110" t="s">
        <v>336</v>
      </c>
      <c r="D83" s="110" t="s">
        <v>95</v>
      </c>
      <c r="E83" s="110" t="s">
        <v>260</v>
      </c>
      <c r="F83" s="110" t="s">
        <v>171</v>
      </c>
      <c r="G83" s="96" t="s">
        <v>93</v>
      </c>
      <c r="H83" s="285" t="s">
        <v>91</v>
      </c>
      <c r="I83" s="286"/>
      <c r="J83" s="285" t="s">
        <v>91</v>
      </c>
      <c r="K83" s="286"/>
      <c r="L83" s="285" t="s">
        <v>91</v>
      </c>
      <c r="M83" s="286"/>
      <c r="N83" s="285" t="s">
        <v>91</v>
      </c>
      <c r="O83" s="286"/>
      <c r="P83" s="36"/>
      <c r="Z83" s="285" t="s">
        <v>91</v>
      </c>
      <c r="AA83" s="286"/>
      <c r="AB83" s="285" t="s">
        <v>91</v>
      </c>
      <c r="AC83" s="286"/>
      <c r="AD83" s="285" t="s">
        <v>91</v>
      </c>
      <c r="AE83" s="286"/>
      <c r="AF83" s="285" t="s">
        <v>91</v>
      </c>
      <c r="AG83" s="286"/>
    </row>
    <row r="84" spans="1:33" s="16" customFormat="1" ht="190.5" hidden="1" customHeight="1" x14ac:dyDescent="0.25">
      <c r="A84" s="95" t="s">
        <v>228</v>
      </c>
      <c r="B84" s="132" t="s">
        <v>221</v>
      </c>
      <c r="C84" s="110" t="s">
        <v>320</v>
      </c>
      <c r="D84" s="110" t="s">
        <v>95</v>
      </c>
      <c r="E84" s="110" t="s">
        <v>173</v>
      </c>
      <c r="F84" s="110" t="s">
        <v>172</v>
      </c>
      <c r="G84" s="96" t="s">
        <v>93</v>
      </c>
      <c r="H84" s="285" t="s">
        <v>91</v>
      </c>
      <c r="I84" s="286"/>
      <c r="J84" s="285" t="s">
        <v>91</v>
      </c>
      <c r="K84" s="286"/>
      <c r="L84" s="285" t="s">
        <v>91</v>
      </c>
      <c r="M84" s="286"/>
      <c r="N84" s="285" t="s">
        <v>91</v>
      </c>
      <c r="O84" s="286"/>
      <c r="P84" s="36"/>
      <c r="Z84" s="285" t="s">
        <v>91</v>
      </c>
      <c r="AA84" s="286"/>
      <c r="AB84" s="285" t="s">
        <v>91</v>
      </c>
      <c r="AC84" s="286"/>
      <c r="AD84" s="285" t="s">
        <v>91</v>
      </c>
      <c r="AE84" s="286"/>
      <c r="AF84" s="285" t="s">
        <v>91</v>
      </c>
      <c r="AG84" s="286"/>
    </row>
    <row r="85" spans="1:33" s="16" customFormat="1" ht="261" hidden="1" customHeight="1" x14ac:dyDescent="0.25">
      <c r="A85" s="95" t="s">
        <v>229</v>
      </c>
      <c r="B85" s="132" t="s">
        <v>222</v>
      </c>
      <c r="C85" s="110" t="s">
        <v>327</v>
      </c>
      <c r="D85" s="110" t="s">
        <v>95</v>
      </c>
      <c r="E85" s="110" t="s">
        <v>175</v>
      </c>
      <c r="F85" s="110" t="s">
        <v>174</v>
      </c>
      <c r="G85" s="96" t="s">
        <v>93</v>
      </c>
      <c r="H85" s="285" t="s">
        <v>91</v>
      </c>
      <c r="I85" s="286"/>
      <c r="J85" s="285" t="s">
        <v>91</v>
      </c>
      <c r="K85" s="286"/>
      <c r="L85" s="285" t="s">
        <v>91</v>
      </c>
      <c r="M85" s="286"/>
      <c r="N85" s="285" t="s">
        <v>91</v>
      </c>
      <c r="O85" s="286"/>
      <c r="P85" s="36"/>
      <c r="Z85" s="285" t="s">
        <v>91</v>
      </c>
      <c r="AA85" s="286"/>
      <c r="AB85" s="285" t="s">
        <v>91</v>
      </c>
      <c r="AC85" s="286"/>
      <c r="AD85" s="285" t="s">
        <v>91</v>
      </c>
      <c r="AE85" s="286"/>
      <c r="AF85" s="285" t="s">
        <v>91</v>
      </c>
      <c r="AG85" s="286"/>
    </row>
    <row r="86" spans="1:33" s="16" customFormat="1" ht="180.75" hidden="1" customHeight="1" x14ac:dyDescent="0.25">
      <c r="A86" s="95" t="s">
        <v>40</v>
      </c>
      <c r="B86" s="110" t="s">
        <v>156</v>
      </c>
      <c r="C86" s="110" t="s">
        <v>316</v>
      </c>
      <c r="D86" s="110" t="s">
        <v>95</v>
      </c>
      <c r="E86" s="110" t="s">
        <v>177</v>
      </c>
      <c r="F86" s="110" t="s">
        <v>176</v>
      </c>
      <c r="G86" s="96" t="s">
        <v>93</v>
      </c>
      <c r="H86" s="285" t="s">
        <v>91</v>
      </c>
      <c r="I86" s="286"/>
      <c r="J86" s="285" t="s">
        <v>91</v>
      </c>
      <c r="K86" s="286"/>
      <c r="L86" s="285" t="s">
        <v>91</v>
      </c>
      <c r="M86" s="286"/>
      <c r="N86" s="285" t="s">
        <v>91</v>
      </c>
      <c r="O86" s="286"/>
      <c r="P86" s="36"/>
      <c r="Z86" s="285" t="s">
        <v>91</v>
      </c>
      <c r="AA86" s="286"/>
      <c r="AB86" s="285" t="s">
        <v>91</v>
      </c>
      <c r="AC86" s="286"/>
      <c r="AD86" s="285" t="s">
        <v>91</v>
      </c>
      <c r="AE86" s="286"/>
      <c r="AF86" s="285" t="s">
        <v>91</v>
      </c>
      <c r="AG86" s="286"/>
    </row>
    <row r="87" spans="1:33" s="12" customFormat="1" ht="316.5" hidden="1" customHeight="1" x14ac:dyDescent="0.25">
      <c r="A87" s="95" t="s">
        <v>41</v>
      </c>
      <c r="B87" s="110" t="s">
        <v>25</v>
      </c>
      <c r="C87" s="110" t="s">
        <v>261</v>
      </c>
      <c r="D87" s="110" t="s">
        <v>95</v>
      </c>
      <c r="E87" s="110" t="s">
        <v>179</v>
      </c>
      <c r="F87" s="110" t="s">
        <v>178</v>
      </c>
      <c r="G87" s="96" t="s">
        <v>93</v>
      </c>
      <c r="H87" s="285" t="s">
        <v>91</v>
      </c>
      <c r="I87" s="286" t="s">
        <v>91</v>
      </c>
      <c r="J87" s="285" t="s">
        <v>91</v>
      </c>
      <c r="K87" s="286"/>
      <c r="L87" s="285" t="s">
        <v>91</v>
      </c>
      <c r="M87" s="286"/>
      <c r="N87" s="285" t="s">
        <v>91</v>
      </c>
      <c r="O87" s="286" t="s">
        <v>91</v>
      </c>
      <c r="P87" s="49"/>
      <c r="Z87" s="285" t="s">
        <v>91</v>
      </c>
      <c r="AA87" s="286" t="s">
        <v>91</v>
      </c>
      <c r="AB87" s="285" t="s">
        <v>91</v>
      </c>
      <c r="AC87" s="286"/>
      <c r="AD87" s="285" t="s">
        <v>91</v>
      </c>
      <c r="AE87" s="286"/>
      <c r="AF87" s="285" t="s">
        <v>91</v>
      </c>
      <c r="AG87" s="286" t="s">
        <v>91</v>
      </c>
    </row>
    <row r="88" spans="1:33" s="16" customFormat="1" ht="23.25" hidden="1" x14ac:dyDescent="0.25">
      <c r="A88" s="113" t="s">
        <v>42</v>
      </c>
      <c r="B88" s="301" t="s">
        <v>20</v>
      </c>
      <c r="C88" s="302"/>
      <c r="D88" s="303"/>
      <c r="E88" s="116"/>
      <c r="F88" s="116"/>
      <c r="G88" s="96" t="s">
        <v>93</v>
      </c>
      <c r="H88" s="112">
        <f>H89+H94</f>
        <v>7037</v>
      </c>
      <c r="I88" s="112">
        <f t="shared" ref="I88:O88" si="29">I89+I94</f>
        <v>2043</v>
      </c>
      <c r="J88" s="112">
        <f t="shared" si="29"/>
        <v>7137</v>
      </c>
      <c r="K88" s="112">
        <f t="shared" si="29"/>
        <v>2043</v>
      </c>
      <c r="L88" s="112">
        <f t="shared" si="29"/>
        <v>7137</v>
      </c>
      <c r="M88" s="112">
        <f t="shared" si="29"/>
        <v>2043</v>
      </c>
      <c r="N88" s="112">
        <f t="shared" si="29"/>
        <v>21311</v>
      </c>
      <c r="O88" s="112">
        <f t="shared" si="29"/>
        <v>6129</v>
      </c>
      <c r="P88" s="36"/>
      <c r="Z88" s="112">
        <f>Z89+Z94</f>
        <v>7037</v>
      </c>
      <c r="AA88" s="112">
        <f t="shared" ref="AA88:AG88" si="30">AA89+AA94</f>
        <v>2043</v>
      </c>
      <c r="AB88" s="112">
        <f t="shared" si="30"/>
        <v>7137</v>
      </c>
      <c r="AC88" s="112">
        <f t="shared" si="30"/>
        <v>2043</v>
      </c>
      <c r="AD88" s="112">
        <f t="shared" si="30"/>
        <v>7137</v>
      </c>
      <c r="AE88" s="112">
        <f t="shared" si="30"/>
        <v>2043</v>
      </c>
      <c r="AF88" s="112">
        <f t="shared" si="30"/>
        <v>21311</v>
      </c>
      <c r="AG88" s="112">
        <f t="shared" si="30"/>
        <v>6129</v>
      </c>
    </row>
    <row r="89" spans="1:33" s="16" customFormat="1" ht="255.75" hidden="1" customHeight="1" x14ac:dyDescent="0.25">
      <c r="A89" s="95" t="s">
        <v>44</v>
      </c>
      <c r="B89" s="110" t="s">
        <v>263</v>
      </c>
      <c r="C89" s="110" t="s">
        <v>321</v>
      </c>
      <c r="D89" s="110" t="s">
        <v>95</v>
      </c>
      <c r="E89" s="110" t="s">
        <v>262</v>
      </c>
      <c r="F89" s="110" t="s">
        <v>108</v>
      </c>
      <c r="G89" s="96" t="s">
        <v>93</v>
      </c>
      <c r="H89" s="98">
        <v>4143</v>
      </c>
      <c r="I89" s="98">
        <v>1243</v>
      </c>
      <c r="J89" s="98">
        <v>4143</v>
      </c>
      <c r="K89" s="98">
        <v>1243</v>
      </c>
      <c r="L89" s="98">
        <v>4143</v>
      </c>
      <c r="M89" s="98">
        <v>1243</v>
      </c>
      <c r="N89" s="98">
        <f>H89+J89+L89</f>
        <v>12429</v>
      </c>
      <c r="O89" s="98">
        <f>I89+K89+M89</f>
        <v>3729</v>
      </c>
      <c r="P89" s="36"/>
      <c r="Z89" s="98">
        <v>4143</v>
      </c>
      <c r="AA89" s="98">
        <v>1243</v>
      </c>
      <c r="AB89" s="98">
        <v>4143</v>
      </c>
      <c r="AC89" s="98">
        <v>1243</v>
      </c>
      <c r="AD89" s="98">
        <v>4143</v>
      </c>
      <c r="AE89" s="98">
        <v>1243</v>
      </c>
      <c r="AF89" s="98">
        <f>Z89+AB89+AD89</f>
        <v>12429</v>
      </c>
      <c r="AG89" s="98">
        <f>AA89+AC89+AE89</f>
        <v>3729</v>
      </c>
    </row>
    <row r="90" spans="1:33" s="12" customFormat="1" ht="159" hidden="1" customHeight="1" x14ac:dyDescent="0.25">
      <c r="A90" s="95" t="s">
        <v>45</v>
      </c>
      <c r="B90" s="110" t="s">
        <v>264</v>
      </c>
      <c r="C90" s="110" t="s">
        <v>328</v>
      </c>
      <c r="D90" s="110" t="s">
        <v>14</v>
      </c>
      <c r="E90" s="110" t="s">
        <v>119</v>
      </c>
      <c r="F90" s="110" t="s">
        <v>180</v>
      </c>
      <c r="G90" s="96" t="s">
        <v>93</v>
      </c>
      <c r="H90" s="98"/>
      <c r="I90" s="98" t="s">
        <v>121</v>
      </c>
      <c r="J90" s="98" t="s">
        <v>104</v>
      </c>
      <c r="K90" s="98"/>
      <c r="L90" s="98" t="s">
        <v>104</v>
      </c>
      <c r="M90" s="98"/>
      <c r="N90" s="98"/>
      <c r="O90" s="98" t="s">
        <v>121</v>
      </c>
      <c r="P90" s="56"/>
      <c r="Z90" s="98"/>
      <c r="AA90" s="98" t="s">
        <v>121</v>
      </c>
      <c r="AB90" s="98" t="s">
        <v>104</v>
      </c>
      <c r="AC90" s="98"/>
      <c r="AD90" s="98" t="s">
        <v>104</v>
      </c>
      <c r="AE90" s="98"/>
      <c r="AF90" s="98"/>
      <c r="AG90" s="98" t="s">
        <v>121</v>
      </c>
    </row>
    <row r="91" spans="1:33" s="16" customFormat="1" ht="58.5" hidden="1" customHeight="1" x14ac:dyDescent="0.25">
      <c r="A91" s="95" t="s">
        <v>46</v>
      </c>
      <c r="B91" s="110" t="s">
        <v>115</v>
      </c>
      <c r="C91" s="110" t="s">
        <v>83</v>
      </c>
      <c r="D91" s="110" t="s">
        <v>14</v>
      </c>
      <c r="E91" s="110" t="s">
        <v>337</v>
      </c>
      <c r="F91" s="110" t="s">
        <v>338</v>
      </c>
      <c r="G91" s="96" t="s">
        <v>93</v>
      </c>
      <c r="H91" s="285" t="s">
        <v>91</v>
      </c>
      <c r="I91" s="286"/>
      <c r="J91" s="285" t="s">
        <v>91</v>
      </c>
      <c r="K91" s="286"/>
      <c r="L91" s="285" t="s">
        <v>91</v>
      </c>
      <c r="M91" s="286"/>
      <c r="N91" s="285" t="s">
        <v>91</v>
      </c>
      <c r="O91" s="286"/>
      <c r="P91" s="36"/>
      <c r="Z91" s="285" t="s">
        <v>91</v>
      </c>
      <c r="AA91" s="286"/>
      <c r="AB91" s="285" t="s">
        <v>91</v>
      </c>
      <c r="AC91" s="286"/>
      <c r="AD91" s="285" t="s">
        <v>91</v>
      </c>
      <c r="AE91" s="286"/>
      <c r="AF91" s="285" t="s">
        <v>91</v>
      </c>
      <c r="AG91" s="286"/>
    </row>
    <row r="92" spans="1:33" s="12" customFormat="1" ht="83.25" hidden="1" customHeight="1" x14ac:dyDescent="0.25">
      <c r="A92" s="95" t="s">
        <v>47</v>
      </c>
      <c r="B92" s="110" t="s">
        <v>24</v>
      </c>
      <c r="C92" s="110" t="s">
        <v>116</v>
      </c>
      <c r="D92" s="110" t="s">
        <v>95</v>
      </c>
      <c r="E92" s="110" t="s">
        <v>157</v>
      </c>
      <c r="F92" s="110" t="s">
        <v>265</v>
      </c>
      <c r="G92" s="96" t="s">
        <v>93</v>
      </c>
      <c r="H92" s="285" t="s">
        <v>91</v>
      </c>
      <c r="I92" s="286"/>
      <c r="J92" s="285" t="s">
        <v>91</v>
      </c>
      <c r="K92" s="286"/>
      <c r="L92" s="285" t="s">
        <v>91</v>
      </c>
      <c r="M92" s="286"/>
      <c r="N92" s="285" t="s">
        <v>91</v>
      </c>
      <c r="O92" s="286"/>
      <c r="P92" s="49"/>
      <c r="Z92" s="285" t="s">
        <v>91</v>
      </c>
      <c r="AA92" s="286"/>
      <c r="AB92" s="285" t="s">
        <v>91</v>
      </c>
      <c r="AC92" s="286"/>
      <c r="AD92" s="285" t="s">
        <v>91</v>
      </c>
      <c r="AE92" s="286"/>
      <c r="AF92" s="285" t="s">
        <v>91</v>
      </c>
      <c r="AG92" s="286"/>
    </row>
    <row r="93" spans="1:33" s="16" customFormat="1" ht="375" hidden="1" customHeight="1" x14ac:dyDescent="0.25">
      <c r="A93" s="95" t="s">
        <v>48</v>
      </c>
      <c r="B93" s="110" t="s">
        <v>332</v>
      </c>
      <c r="C93" s="110" t="s">
        <v>322</v>
      </c>
      <c r="D93" s="110" t="s">
        <v>95</v>
      </c>
      <c r="E93" s="110" t="s">
        <v>354</v>
      </c>
      <c r="F93" s="110" t="s">
        <v>333</v>
      </c>
      <c r="G93" s="96" t="s">
        <v>93</v>
      </c>
      <c r="H93" s="285" t="s">
        <v>91</v>
      </c>
      <c r="I93" s="286"/>
      <c r="J93" s="285" t="s">
        <v>91</v>
      </c>
      <c r="K93" s="286"/>
      <c r="L93" s="285" t="s">
        <v>91</v>
      </c>
      <c r="M93" s="286"/>
      <c r="N93" s="285" t="s">
        <v>91</v>
      </c>
      <c r="O93" s="286"/>
      <c r="P93" s="36"/>
      <c r="Z93" s="285" t="s">
        <v>91</v>
      </c>
      <c r="AA93" s="286"/>
      <c r="AB93" s="285" t="s">
        <v>91</v>
      </c>
      <c r="AC93" s="286"/>
      <c r="AD93" s="285" t="s">
        <v>91</v>
      </c>
      <c r="AE93" s="286"/>
      <c r="AF93" s="285" t="s">
        <v>91</v>
      </c>
      <c r="AG93" s="286"/>
    </row>
    <row r="94" spans="1:33" s="16" customFormat="1" ht="82.5" hidden="1" customHeight="1" x14ac:dyDescent="0.25">
      <c r="A94" s="95" t="s">
        <v>49</v>
      </c>
      <c r="B94" s="110" t="s">
        <v>181</v>
      </c>
      <c r="C94" s="96" t="s">
        <v>163</v>
      </c>
      <c r="D94" s="96" t="s">
        <v>163</v>
      </c>
      <c r="E94" s="96" t="s">
        <v>163</v>
      </c>
      <c r="F94" s="96" t="s">
        <v>163</v>
      </c>
      <c r="G94" s="96" t="s">
        <v>93</v>
      </c>
      <c r="H94" s="98">
        <f t="shared" ref="H94:M94" si="31">H95+H96+H97</f>
        <v>2894</v>
      </c>
      <c r="I94" s="98">
        <f t="shared" si="31"/>
        <v>800</v>
      </c>
      <c r="J94" s="98">
        <f t="shared" si="31"/>
        <v>2994</v>
      </c>
      <c r="K94" s="98">
        <f t="shared" si="31"/>
        <v>800</v>
      </c>
      <c r="L94" s="98">
        <f t="shared" si="31"/>
        <v>2994</v>
      </c>
      <c r="M94" s="98">
        <f t="shared" si="31"/>
        <v>800</v>
      </c>
      <c r="N94" s="98">
        <f t="shared" ref="N94:O97" si="32">H94+J94+L94</f>
        <v>8882</v>
      </c>
      <c r="O94" s="98">
        <f t="shared" si="32"/>
        <v>2400</v>
      </c>
      <c r="P94" s="36"/>
      <c r="Z94" s="98">
        <f t="shared" ref="Z94:AE94" si="33">Z95+Z96+Z97</f>
        <v>2894</v>
      </c>
      <c r="AA94" s="98">
        <f t="shared" si="33"/>
        <v>800</v>
      </c>
      <c r="AB94" s="98">
        <f t="shared" si="33"/>
        <v>2994</v>
      </c>
      <c r="AC94" s="98">
        <f t="shared" si="33"/>
        <v>800</v>
      </c>
      <c r="AD94" s="98">
        <f t="shared" si="33"/>
        <v>2994</v>
      </c>
      <c r="AE94" s="98">
        <f t="shared" si="33"/>
        <v>800</v>
      </c>
      <c r="AF94" s="98">
        <f t="shared" ref="AF94:AG97" si="34">Z94+AB94+AD94</f>
        <v>8882</v>
      </c>
      <c r="AG94" s="98">
        <f t="shared" si="34"/>
        <v>2400</v>
      </c>
    </row>
    <row r="95" spans="1:33" s="12" customFormat="1" ht="100.5" hidden="1" customHeight="1" x14ac:dyDescent="0.25">
      <c r="A95" s="95" t="s">
        <v>158</v>
      </c>
      <c r="B95" s="132" t="s">
        <v>270</v>
      </c>
      <c r="C95" s="110" t="s">
        <v>323</v>
      </c>
      <c r="D95" s="110" t="s">
        <v>95</v>
      </c>
      <c r="E95" s="110" t="s">
        <v>266</v>
      </c>
      <c r="F95" s="110" t="s">
        <v>108</v>
      </c>
      <c r="G95" s="96" t="s">
        <v>93</v>
      </c>
      <c r="H95" s="98">
        <f>5000-4200</f>
        <v>800</v>
      </c>
      <c r="I95" s="98">
        <v>800</v>
      </c>
      <c r="J95" s="98">
        <v>800</v>
      </c>
      <c r="K95" s="98">
        <v>800</v>
      </c>
      <c r="L95" s="98">
        <v>800</v>
      </c>
      <c r="M95" s="98">
        <v>800</v>
      </c>
      <c r="N95" s="98">
        <f t="shared" si="32"/>
        <v>2400</v>
      </c>
      <c r="O95" s="98">
        <f t="shared" si="32"/>
        <v>2400</v>
      </c>
      <c r="P95" s="49"/>
      <c r="Z95" s="98">
        <f>5000-4200</f>
        <v>800</v>
      </c>
      <c r="AA95" s="98">
        <v>800</v>
      </c>
      <c r="AB95" s="98">
        <v>800</v>
      </c>
      <c r="AC95" s="98">
        <v>800</v>
      </c>
      <c r="AD95" s="98">
        <v>800</v>
      </c>
      <c r="AE95" s="98">
        <v>800</v>
      </c>
      <c r="AF95" s="98">
        <f t="shared" si="34"/>
        <v>2400</v>
      </c>
      <c r="AG95" s="98">
        <f t="shared" si="34"/>
        <v>2400</v>
      </c>
    </row>
    <row r="96" spans="1:33" s="12" customFormat="1" ht="69" hidden="1" customHeight="1" x14ac:dyDescent="0.25">
      <c r="A96" s="95" t="s">
        <v>159</v>
      </c>
      <c r="B96" s="132" t="s">
        <v>269</v>
      </c>
      <c r="C96" s="110" t="s">
        <v>224</v>
      </c>
      <c r="D96" s="110" t="s">
        <v>95</v>
      </c>
      <c r="E96" s="110" t="s">
        <v>266</v>
      </c>
      <c r="F96" s="110" t="s">
        <v>108</v>
      </c>
      <c r="G96" s="96" t="s">
        <v>93</v>
      </c>
      <c r="H96" s="98">
        <f>7033-5023</f>
        <v>2010</v>
      </c>
      <c r="I96" s="98">
        <v>0</v>
      </c>
      <c r="J96" s="98">
        <f>7033-5023</f>
        <v>2010</v>
      </c>
      <c r="K96" s="98">
        <v>0</v>
      </c>
      <c r="L96" s="98">
        <f>7033-5023</f>
        <v>2010</v>
      </c>
      <c r="M96" s="98">
        <v>0</v>
      </c>
      <c r="N96" s="98">
        <f t="shared" si="32"/>
        <v>6030</v>
      </c>
      <c r="O96" s="98">
        <f t="shared" si="32"/>
        <v>0</v>
      </c>
      <c r="P96" s="49"/>
      <c r="Z96" s="98">
        <f>7033-5023</f>
        <v>2010</v>
      </c>
      <c r="AA96" s="98">
        <v>0</v>
      </c>
      <c r="AB96" s="98">
        <f>7033-5023</f>
        <v>2010</v>
      </c>
      <c r="AC96" s="98">
        <v>0</v>
      </c>
      <c r="AD96" s="98">
        <f>7033-5023</f>
        <v>2010</v>
      </c>
      <c r="AE96" s="98">
        <v>0</v>
      </c>
      <c r="AF96" s="98">
        <f t="shared" si="34"/>
        <v>6030</v>
      </c>
      <c r="AG96" s="98">
        <f t="shared" si="34"/>
        <v>0</v>
      </c>
    </row>
    <row r="97" spans="1:33" s="12" customFormat="1" ht="85.5" hidden="1" customHeight="1" x14ac:dyDescent="0.25">
      <c r="A97" s="95" t="s">
        <v>183</v>
      </c>
      <c r="B97" s="138" t="s">
        <v>267</v>
      </c>
      <c r="C97" s="110" t="s">
        <v>317</v>
      </c>
      <c r="D97" s="110" t="s">
        <v>138</v>
      </c>
      <c r="E97" s="110" t="s">
        <v>268</v>
      </c>
      <c r="F97" s="110" t="s">
        <v>108</v>
      </c>
      <c r="G97" s="96" t="s">
        <v>93</v>
      </c>
      <c r="H97" s="98">
        <v>84</v>
      </c>
      <c r="I97" s="98">
        <v>0</v>
      </c>
      <c r="J97" s="98">
        <v>184</v>
      </c>
      <c r="K97" s="98">
        <v>0</v>
      </c>
      <c r="L97" s="98">
        <v>184</v>
      </c>
      <c r="M97" s="98">
        <v>0</v>
      </c>
      <c r="N97" s="98">
        <f t="shared" si="32"/>
        <v>452</v>
      </c>
      <c r="O97" s="98">
        <f t="shared" si="32"/>
        <v>0</v>
      </c>
      <c r="P97" s="49"/>
      <c r="Z97" s="98">
        <v>84</v>
      </c>
      <c r="AA97" s="98">
        <v>0</v>
      </c>
      <c r="AB97" s="98">
        <v>184</v>
      </c>
      <c r="AC97" s="98">
        <v>0</v>
      </c>
      <c r="AD97" s="98">
        <v>184</v>
      </c>
      <c r="AE97" s="98">
        <v>0</v>
      </c>
      <c r="AF97" s="98">
        <f t="shared" si="34"/>
        <v>452</v>
      </c>
      <c r="AG97" s="98">
        <f t="shared" si="34"/>
        <v>0</v>
      </c>
    </row>
    <row r="98" spans="1:33" ht="23.25" hidden="1" x14ac:dyDescent="0.25">
      <c r="A98" s="107" t="s">
        <v>43</v>
      </c>
      <c r="B98" s="300" t="s">
        <v>10</v>
      </c>
      <c r="C98" s="300"/>
      <c r="D98" s="300"/>
      <c r="E98" s="139"/>
      <c r="F98" s="139"/>
      <c r="G98" s="96" t="s">
        <v>93</v>
      </c>
      <c r="H98" s="97">
        <f>H102+H101</f>
        <v>35.651150000000001</v>
      </c>
      <c r="I98" s="97">
        <f>I102+I101</f>
        <v>0</v>
      </c>
      <c r="J98" s="97">
        <f t="shared" ref="J98:O98" si="35">J102+J101</f>
        <v>0</v>
      </c>
      <c r="K98" s="97">
        <f t="shared" si="35"/>
        <v>0</v>
      </c>
      <c r="L98" s="97">
        <f t="shared" si="35"/>
        <v>0</v>
      </c>
      <c r="M98" s="97">
        <f t="shared" si="35"/>
        <v>0</v>
      </c>
      <c r="N98" s="97">
        <f t="shared" si="35"/>
        <v>35.651150000000001</v>
      </c>
      <c r="O98" s="97">
        <f t="shared" si="35"/>
        <v>0</v>
      </c>
      <c r="P98" s="30"/>
      <c r="Z98" s="97">
        <f>Z102+Z101</f>
        <v>35.651150000000001</v>
      </c>
      <c r="AA98" s="97">
        <f>AA102+AA101</f>
        <v>0</v>
      </c>
      <c r="AB98" s="97">
        <f t="shared" ref="AB98:AG98" si="36">AB102+AB101</f>
        <v>0</v>
      </c>
      <c r="AC98" s="97">
        <f t="shared" si="36"/>
        <v>0</v>
      </c>
      <c r="AD98" s="97">
        <f t="shared" si="36"/>
        <v>0</v>
      </c>
      <c r="AE98" s="97">
        <f t="shared" si="36"/>
        <v>0</v>
      </c>
      <c r="AF98" s="97">
        <f t="shared" si="36"/>
        <v>35.651150000000001</v>
      </c>
      <c r="AG98" s="97">
        <f t="shared" si="36"/>
        <v>0</v>
      </c>
    </row>
    <row r="99" spans="1:33" ht="63.75" hidden="1" customHeight="1" x14ac:dyDescent="0.25">
      <c r="A99" s="95" t="s">
        <v>50</v>
      </c>
      <c r="B99" s="140" t="s">
        <v>18</v>
      </c>
      <c r="C99" s="110" t="s">
        <v>86</v>
      </c>
      <c r="D99" s="110" t="s">
        <v>95</v>
      </c>
      <c r="E99" s="110" t="s">
        <v>303</v>
      </c>
      <c r="F99" s="110" t="s">
        <v>110</v>
      </c>
      <c r="G99" s="96" t="s">
        <v>92</v>
      </c>
      <c r="H99" s="285" t="s">
        <v>91</v>
      </c>
      <c r="I99" s="286"/>
      <c r="J99" s="285" t="s">
        <v>91</v>
      </c>
      <c r="K99" s="286"/>
      <c r="L99" s="285" t="s">
        <v>91</v>
      </c>
      <c r="M99" s="286"/>
      <c r="N99" s="285" t="s">
        <v>91</v>
      </c>
      <c r="O99" s="286"/>
      <c r="P99" s="36"/>
      <c r="Z99" s="285" t="s">
        <v>91</v>
      </c>
      <c r="AA99" s="286"/>
      <c r="AB99" s="285" t="s">
        <v>91</v>
      </c>
      <c r="AC99" s="286"/>
      <c r="AD99" s="285" t="s">
        <v>91</v>
      </c>
      <c r="AE99" s="286"/>
      <c r="AF99" s="285" t="s">
        <v>91</v>
      </c>
      <c r="AG99" s="286"/>
    </row>
    <row r="100" spans="1:33" ht="79.5" hidden="1" customHeight="1" x14ac:dyDescent="0.25">
      <c r="A100" s="95" t="s">
        <v>51</v>
      </c>
      <c r="B100" s="110" t="s">
        <v>9</v>
      </c>
      <c r="C100" s="110" t="s">
        <v>86</v>
      </c>
      <c r="D100" s="110" t="s">
        <v>95</v>
      </c>
      <c r="E100" s="110" t="s">
        <v>302</v>
      </c>
      <c r="F100" s="110" t="s">
        <v>122</v>
      </c>
      <c r="G100" s="96" t="s">
        <v>92</v>
      </c>
      <c r="H100" s="285" t="s">
        <v>91</v>
      </c>
      <c r="I100" s="286"/>
      <c r="J100" s="285" t="s">
        <v>91</v>
      </c>
      <c r="K100" s="286"/>
      <c r="L100" s="285" t="s">
        <v>91</v>
      </c>
      <c r="M100" s="286"/>
      <c r="N100" s="285" t="s">
        <v>91</v>
      </c>
      <c r="O100" s="286"/>
      <c r="P100" s="36"/>
      <c r="Z100" s="285" t="s">
        <v>91</v>
      </c>
      <c r="AA100" s="286"/>
      <c r="AB100" s="285" t="s">
        <v>91</v>
      </c>
      <c r="AC100" s="286"/>
      <c r="AD100" s="285" t="s">
        <v>91</v>
      </c>
      <c r="AE100" s="286"/>
      <c r="AF100" s="285" t="s">
        <v>91</v>
      </c>
      <c r="AG100" s="286"/>
    </row>
    <row r="101" spans="1:33" ht="120" hidden="1" customHeight="1" x14ac:dyDescent="0.25">
      <c r="A101" s="95" t="s">
        <v>52</v>
      </c>
      <c r="B101" s="110" t="s">
        <v>8</v>
      </c>
      <c r="C101" s="110" t="s">
        <v>86</v>
      </c>
      <c r="D101" s="110" t="s">
        <v>95</v>
      </c>
      <c r="E101" s="110" t="s">
        <v>300</v>
      </c>
      <c r="F101" s="110" t="s">
        <v>108</v>
      </c>
      <c r="G101" s="96" t="s">
        <v>182</v>
      </c>
      <c r="H101" s="98">
        <v>27.654</v>
      </c>
      <c r="I101" s="98">
        <v>0</v>
      </c>
      <c r="J101" s="98">
        <v>0</v>
      </c>
      <c r="K101" s="98">
        <v>0</v>
      </c>
      <c r="L101" s="98">
        <v>0</v>
      </c>
      <c r="M101" s="98">
        <v>0</v>
      </c>
      <c r="N101" s="98">
        <f>H101+J101+L101</f>
        <v>27.654</v>
      </c>
      <c r="O101" s="98">
        <f t="shared" ref="O101:V102" si="37">I101+K101+M101</f>
        <v>0</v>
      </c>
      <c r="P101" s="92">
        <f t="shared" si="37"/>
        <v>27.654</v>
      </c>
      <c r="Q101" s="92">
        <f t="shared" si="37"/>
        <v>0</v>
      </c>
      <c r="R101" s="92">
        <f t="shared" si="37"/>
        <v>55.308</v>
      </c>
      <c r="S101" s="92">
        <f t="shared" si="37"/>
        <v>0</v>
      </c>
      <c r="T101" s="92">
        <f t="shared" si="37"/>
        <v>110.616</v>
      </c>
      <c r="U101" s="92">
        <f t="shared" si="37"/>
        <v>0</v>
      </c>
      <c r="V101" s="92">
        <f t="shared" si="37"/>
        <v>193.578</v>
      </c>
      <c r="Z101" s="98">
        <v>27.654</v>
      </c>
      <c r="AA101" s="98">
        <v>0</v>
      </c>
      <c r="AB101" s="98">
        <v>0</v>
      </c>
      <c r="AC101" s="98">
        <v>0</v>
      </c>
      <c r="AD101" s="98">
        <v>0</v>
      </c>
      <c r="AE101" s="98">
        <v>0</v>
      </c>
      <c r="AF101" s="98">
        <f>Z101+AB101+AD101</f>
        <v>27.654</v>
      </c>
      <c r="AG101" s="98">
        <f>AA101+AC101+AE101</f>
        <v>0</v>
      </c>
    </row>
    <row r="102" spans="1:33" ht="57.75" hidden="1" customHeight="1" x14ac:dyDescent="0.25">
      <c r="A102" s="95" t="s">
        <v>53</v>
      </c>
      <c r="B102" s="110" t="s">
        <v>19</v>
      </c>
      <c r="C102" s="110" t="s">
        <v>86</v>
      </c>
      <c r="D102" s="110" t="s">
        <v>95</v>
      </c>
      <c r="E102" s="110" t="s">
        <v>301</v>
      </c>
      <c r="F102" s="110" t="s">
        <v>108</v>
      </c>
      <c r="G102" s="96" t="s">
        <v>93</v>
      </c>
      <c r="H102" s="98">
        <v>7.9971500000000004</v>
      </c>
      <c r="I102" s="98">
        <v>0</v>
      </c>
      <c r="J102" s="98">
        <v>0</v>
      </c>
      <c r="K102" s="98">
        <v>0</v>
      </c>
      <c r="L102" s="98">
        <v>0</v>
      </c>
      <c r="M102" s="98">
        <v>0</v>
      </c>
      <c r="N102" s="98">
        <f>H102+J102+L102</f>
        <v>7.9971500000000004</v>
      </c>
      <c r="O102" s="98">
        <f t="shared" si="37"/>
        <v>0</v>
      </c>
      <c r="P102" s="30"/>
      <c r="Z102" s="98">
        <v>7.9971500000000004</v>
      </c>
      <c r="AA102" s="98">
        <v>0</v>
      </c>
      <c r="AB102" s="98">
        <v>0</v>
      </c>
      <c r="AC102" s="98">
        <v>0</v>
      </c>
      <c r="AD102" s="98">
        <v>0</v>
      </c>
      <c r="AE102" s="98">
        <v>0</v>
      </c>
      <c r="AF102" s="98">
        <f>Z102+AB102+AD102</f>
        <v>7.9971500000000004</v>
      </c>
      <c r="AG102" s="98">
        <f>AA102+AC102+AE102</f>
        <v>0</v>
      </c>
    </row>
    <row r="103" spans="1:33" s="16" customFormat="1" ht="32.25" hidden="1" customHeight="1" x14ac:dyDescent="0.25">
      <c r="A103" s="113"/>
      <c r="B103" s="93" t="s">
        <v>106</v>
      </c>
      <c r="C103" s="94"/>
      <c r="D103" s="94"/>
      <c r="E103" s="95"/>
      <c r="F103" s="95"/>
      <c r="G103" s="96"/>
      <c r="H103" s="97">
        <f>H49+H88+H98+H40</f>
        <v>38223.027993820004</v>
      </c>
      <c r="I103" s="97">
        <f t="shared" ref="I103:O103" si="38">I49+I88+I98+I40</f>
        <v>21460.38904432</v>
      </c>
      <c r="J103" s="97">
        <f t="shared" si="38"/>
        <v>34706.577429954283</v>
      </c>
      <c r="K103" s="97">
        <f t="shared" si="38"/>
        <v>14321.98047289143</v>
      </c>
      <c r="L103" s="97">
        <f t="shared" si="38"/>
        <v>34706.577429954283</v>
      </c>
      <c r="M103" s="97">
        <f t="shared" si="38"/>
        <v>14321.98047289143</v>
      </c>
      <c r="N103" s="97">
        <f t="shared" si="38"/>
        <v>107636.18285372858</v>
      </c>
      <c r="O103" s="97">
        <f t="shared" si="38"/>
        <v>50104.349990102855</v>
      </c>
      <c r="P103" s="36"/>
      <c r="Q103" s="15"/>
      <c r="R103" s="15"/>
      <c r="S103" s="15"/>
      <c r="T103" s="15"/>
      <c r="U103" s="15"/>
      <c r="V103" s="15"/>
      <c r="Z103" s="97">
        <f>Z49+Z88+Z98+Z40</f>
        <v>38223.027993820004</v>
      </c>
      <c r="AA103" s="97">
        <f t="shared" ref="AA103:AG103" si="39">AA49+AA88+AA98+AA40</f>
        <v>21460.38904432</v>
      </c>
      <c r="AB103" s="97">
        <f t="shared" si="39"/>
        <v>34706.577429954283</v>
      </c>
      <c r="AC103" s="97">
        <f t="shared" si="39"/>
        <v>14321.98047289143</v>
      </c>
      <c r="AD103" s="97">
        <f t="shared" si="39"/>
        <v>34706.577429954283</v>
      </c>
      <c r="AE103" s="97">
        <f t="shared" si="39"/>
        <v>14321.98047289143</v>
      </c>
      <c r="AF103" s="97">
        <f t="shared" si="39"/>
        <v>107636.18285372858</v>
      </c>
      <c r="AG103" s="97">
        <f t="shared" si="39"/>
        <v>50104.349990102855</v>
      </c>
    </row>
    <row r="104" spans="1:33" s="16" customFormat="1" ht="33.75" customHeight="1" x14ac:dyDescent="0.25">
      <c r="A104" s="124"/>
      <c r="B104" s="141" t="s">
        <v>111</v>
      </c>
      <c r="C104" s="142"/>
      <c r="D104" s="142"/>
      <c r="E104" s="143"/>
      <c r="F104" s="143"/>
      <c r="G104" s="104"/>
      <c r="H104" s="105">
        <f>H38+H103</f>
        <v>53103.527993820004</v>
      </c>
      <c r="I104" s="105">
        <f t="shared" ref="I104:O104" si="40">I38+I103</f>
        <v>21836.88904432</v>
      </c>
      <c r="J104" s="105">
        <f t="shared" si="40"/>
        <v>39052.077429954283</v>
      </c>
      <c r="K104" s="105">
        <f t="shared" si="40"/>
        <v>14321.98047289143</v>
      </c>
      <c r="L104" s="105">
        <f t="shared" si="40"/>
        <v>40672.077429954283</v>
      </c>
      <c r="M104" s="105">
        <f t="shared" si="40"/>
        <v>14321.98047289143</v>
      </c>
      <c r="N104" s="105">
        <f t="shared" si="40"/>
        <v>132827.68285372859</v>
      </c>
      <c r="O104" s="105">
        <f t="shared" si="40"/>
        <v>50480.849990102855</v>
      </c>
      <c r="P104" s="36"/>
      <c r="Q104" s="15"/>
      <c r="R104" s="15"/>
      <c r="S104" s="15"/>
      <c r="T104" s="15"/>
      <c r="U104" s="15"/>
      <c r="V104" s="15"/>
      <c r="Z104" s="105">
        <f>Z38+Z103</f>
        <v>53103.527993820004</v>
      </c>
      <c r="AA104" s="105">
        <f t="shared" ref="AA104:AG104" si="41">AA38+AA103</f>
        <v>21836.88904432</v>
      </c>
      <c r="AB104" s="105">
        <f t="shared" si="41"/>
        <v>39052.077429954283</v>
      </c>
      <c r="AC104" s="105">
        <f t="shared" si="41"/>
        <v>14321.98047289143</v>
      </c>
      <c r="AD104" s="105">
        <f t="shared" si="41"/>
        <v>40672.077429954283</v>
      </c>
      <c r="AE104" s="105">
        <f t="shared" si="41"/>
        <v>14321.98047289143</v>
      </c>
      <c r="AF104" s="105">
        <f t="shared" si="41"/>
        <v>132827.68285372859</v>
      </c>
      <c r="AG104" s="105">
        <f t="shared" si="41"/>
        <v>50480.849990102855</v>
      </c>
    </row>
    <row r="106" spans="1:33" ht="75" x14ac:dyDescent="0.25">
      <c r="Y106" s="43" t="s">
        <v>362</v>
      </c>
      <c r="Z106" s="43" t="s">
        <v>363</v>
      </c>
      <c r="AA106" s="43" t="s">
        <v>360</v>
      </c>
      <c r="AB106" s="43" t="s">
        <v>361</v>
      </c>
    </row>
    <row r="107" spans="1:33" ht="37.5" x14ac:dyDescent="0.25">
      <c r="Y107" s="43" t="s">
        <v>14</v>
      </c>
      <c r="Z107" s="97">
        <v>53103.527993820004</v>
      </c>
      <c r="AA107" s="43">
        <f>53104-21837</f>
        <v>31267</v>
      </c>
      <c r="AB107" s="92">
        <f>Z107-AA107</f>
        <v>21836.527993820004</v>
      </c>
    </row>
    <row r="108" spans="1:33" ht="37.5" x14ac:dyDescent="0.25">
      <c r="Y108" s="43" t="s">
        <v>15</v>
      </c>
      <c r="Z108" s="97">
        <v>39052.077429954283</v>
      </c>
      <c r="AA108" s="43">
        <f>39052-14322</f>
        <v>24730</v>
      </c>
      <c r="AB108" s="92">
        <f>Z108-AA108</f>
        <v>14322.077429954283</v>
      </c>
    </row>
    <row r="109" spans="1:33" ht="37.5" x14ac:dyDescent="0.25">
      <c r="Y109" s="43" t="s">
        <v>16</v>
      </c>
      <c r="Z109" s="43">
        <v>40672.077429954283</v>
      </c>
      <c r="AA109" s="43">
        <f>40672-14322</f>
        <v>26350</v>
      </c>
      <c r="AB109" s="92">
        <f>Z109-AA109</f>
        <v>14322.077429954283</v>
      </c>
    </row>
    <row r="110" spans="1:33" x14ac:dyDescent="0.25">
      <c r="Y110" s="43" t="s">
        <v>123</v>
      </c>
      <c r="Z110" s="92">
        <f>Z107+Z108+Z109</f>
        <v>132827.68285372856</v>
      </c>
      <c r="AA110" s="43">
        <f>132828-50481</f>
        <v>82347</v>
      </c>
      <c r="AB110" s="92">
        <f>Z110-AA110</f>
        <v>50480.682853728562</v>
      </c>
    </row>
  </sheetData>
  <mergeCells count="298">
    <mergeCell ref="G1:O1"/>
    <mergeCell ref="A2:O2"/>
    <mergeCell ref="A3:A5"/>
    <mergeCell ref="B3:B5"/>
    <mergeCell ref="C3:C5"/>
    <mergeCell ref="D3:D5"/>
    <mergeCell ref="E3:E5"/>
    <mergeCell ref="F3:F5"/>
    <mergeCell ref="G3:G5"/>
    <mergeCell ref="H3:O3"/>
    <mergeCell ref="H4:I4"/>
    <mergeCell ref="J4:K4"/>
    <mergeCell ref="L4:M4"/>
    <mergeCell ref="N4:O4"/>
    <mergeCell ref="A8:A10"/>
    <mergeCell ref="E9:E12"/>
    <mergeCell ref="H9:I12"/>
    <mergeCell ref="J9:K12"/>
    <mergeCell ref="L9:M12"/>
    <mergeCell ref="N9:O12"/>
    <mergeCell ref="H16:I16"/>
    <mergeCell ref="J16:K16"/>
    <mergeCell ref="L16:M16"/>
    <mergeCell ref="N16:O16"/>
    <mergeCell ref="H18:I18"/>
    <mergeCell ref="J18:K18"/>
    <mergeCell ref="L18:M18"/>
    <mergeCell ref="N18:O18"/>
    <mergeCell ref="H26:I26"/>
    <mergeCell ref="J26:K26"/>
    <mergeCell ref="L26:M26"/>
    <mergeCell ref="N26:O26"/>
    <mergeCell ref="H29:I29"/>
    <mergeCell ref="J29:K29"/>
    <mergeCell ref="L29:M29"/>
    <mergeCell ref="N29:O29"/>
    <mergeCell ref="H19:I19"/>
    <mergeCell ref="J19:K19"/>
    <mergeCell ref="L19:M19"/>
    <mergeCell ref="N19:O19"/>
    <mergeCell ref="H24:I24"/>
    <mergeCell ref="J24:K24"/>
    <mergeCell ref="L24:M24"/>
    <mergeCell ref="N24:O24"/>
    <mergeCell ref="H35:I35"/>
    <mergeCell ref="J35:K35"/>
    <mergeCell ref="L35:M35"/>
    <mergeCell ref="N35:O35"/>
    <mergeCell ref="H37:I37"/>
    <mergeCell ref="J37:K37"/>
    <mergeCell ref="L37:M37"/>
    <mergeCell ref="N37:O37"/>
    <mergeCell ref="H32:I32"/>
    <mergeCell ref="J32:K32"/>
    <mergeCell ref="L32:M32"/>
    <mergeCell ref="N32:O32"/>
    <mergeCell ref="H34:I34"/>
    <mergeCell ref="J34:K34"/>
    <mergeCell ref="L34:M34"/>
    <mergeCell ref="N34:O34"/>
    <mergeCell ref="A43:A44"/>
    <mergeCell ref="B43:B44"/>
    <mergeCell ref="C43:C44"/>
    <mergeCell ref="D43:D44"/>
    <mergeCell ref="H43:I43"/>
    <mergeCell ref="J43:K43"/>
    <mergeCell ref="L43:M43"/>
    <mergeCell ref="N43:O43"/>
    <mergeCell ref="A41:A42"/>
    <mergeCell ref="B41:B42"/>
    <mergeCell ref="C41:C42"/>
    <mergeCell ref="D41:D42"/>
    <mergeCell ref="H41:I41"/>
    <mergeCell ref="J41:K41"/>
    <mergeCell ref="H45:I45"/>
    <mergeCell ref="J45:K45"/>
    <mergeCell ref="L45:M45"/>
    <mergeCell ref="N45:O45"/>
    <mergeCell ref="H47:I47"/>
    <mergeCell ref="J47:K47"/>
    <mergeCell ref="L47:M47"/>
    <mergeCell ref="N47:O47"/>
    <mergeCell ref="L41:M41"/>
    <mergeCell ref="N41:O41"/>
    <mergeCell ref="B66:B68"/>
    <mergeCell ref="H73:I73"/>
    <mergeCell ref="J73:K73"/>
    <mergeCell ref="L73:M73"/>
    <mergeCell ref="N73:O73"/>
    <mergeCell ref="A52:A53"/>
    <mergeCell ref="B52:B53"/>
    <mergeCell ref="C52:C53"/>
    <mergeCell ref="H59:I59"/>
    <mergeCell ref="J59:K59"/>
    <mergeCell ref="L59:M59"/>
    <mergeCell ref="H74:I74"/>
    <mergeCell ref="J74:K74"/>
    <mergeCell ref="L74:M74"/>
    <mergeCell ref="N74:O74"/>
    <mergeCell ref="H75:I75"/>
    <mergeCell ref="J75:K75"/>
    <mergeCell ref="L75:M75"/>
    <mergeCell ref="N75:O75"/>
    <mergeCell ref="N59:O59"/>
    <mergeCell ref="H78:I78"/>
    <mergeCell ref="J78:K78"/>
    <mergeCell ref="L78:M78"/>
    <mergeCell ref="N78:O78"/>
    <mergeCell ref="H81:I81"/>
    <mergeCell ref="J81:K81"/>
    <mergeCell ref="L81:M81"/>
    <mergeCell ref="N81:O81"/>
    <mergeCell ref="H76:I76"/>
    <mergeCell ref="J76:K76"/>
    <mergeCell ref="L76:M76"/>
    <mergeCell ref="N76:O76"/>
    <mergeCell ref="H77:I77"/>
    <mergeCell ref="J77:K77"/>
    <mergeCell ref="L77:M77"/>
    <mergeCell ref="N77:O77"/>
    <mergeCell ref="L86:M86"/>
    <mergeCell ref="N86:O86"/>
    <mergeCell ref="H83:I83"/>
    <mergeCell ref="J83:K83"/>
    <mergeCell ref="L83:M83"/>
    <mergeCell ref="N83:O83"/>
    <mergeCell ref="H84:I84"/>
    <mergeCell ref="J84:K84"/>
    <mergeCell ref="L84:M84"/>
    <mergeCell ref="N84:O84"/>
    <mergeCell ref="H99:I99"/>
    <mergeCell ref="J99:K99"/>
    <mergeCell ref="L99:M99"/>
    <mergeCell ref="N99:O99"/>
    <mergeCell ref="H100:I100"/>
    <mergeCell ref="J100:K100"/>
    <mergeCell ref="L100:M100"/>
    <mergeCell ref="N100:O100"/>
    <mergeCell ref="H92:I92"/>
    <mergeCell ref="J92:K92"/>
    <mergeCell ref="L92:M92"/>
    <mergeCell ref="N92:O92"/>
    <mergeCell ref="H93:I93"/>
    <mergeCell ref="J93:K93"/>
    <mergeCell ref="L93:M93"/>
    <mergeCell ref="N93:O93"/>
    <mergeCell ref="Z4:AA4"/>
    <mergeCell ref="AB4:AC4"/>
    <mergeCell ref="AD4:AE4"/>
    <mergeCell ref="AF4:AG4"/>
    <mergeCell ref="Z9:AA12"/>
    <mergeCell ref="AB9:AC12"/>
    <mergeCell ref="AD9:AE12"/>
    <mergeCell ref="AF9:AG12"/>
    <mergeCell ref="B98:D98"/>
    <mergeCell ref="H87:I87"/>
    <mergeCell ref="J87:K87"/>
    <mergeCell ref="L87:M87"/>
    <mergeCell ref="N87:O87"/>
    <mergeCell ref="B88:D88"/>
    <mergeCell ref="H91:I91"/>
    <mergeCell ref="J91:K91"/>
    <mergeCell ref="L91:M91"/>
    <mergeCell ref="N91:O91"/>
    <mergeCell ref="H85:I85"/>
    <mergeCell ref="J85:K85"/>
    <mergeCell ref="L85:M85"/>
    <mergeCell ref="N85:O85"/>
    <mergeCell ref="H86:I86"/>
    <mergeCell ref="J86:K86"/>
    <mergeCell ref="Z19:AA19"/>
    <mergeCell ref="AB19:AC19"/>
    <mergeCell ref="AD19:AE19"/>
    <mergeCell ref="AF19:AG19"/>
    <mergeCell ref="Z24:AA24"/>
    <mergeCell ref="AB24:AC24"/>
    <mergeCell ref="AD24:AE24"/>
    <mergeCell ref="AF24:AG24"/>
    <mergeCell ref="Z16:AA16"/>
    <mergeCell ref="AB16:AC16"/>
    <mergeCell ref="AD16:AE16"/>
    <mergeCell ref="AF16:AG16"/>
    <mergeCell ref="Z18:AA18"/>
    <mergeCell ref="AB18:AC18"/>
    <mergeCell ref="AD18:AE18"/>
    <mergeCell ref="AF18:AG18"/>
    <mergeCell ref="Z32:AA32"/>
    <mergeCell ref="AB32:AC32"/>
    <mergeCell ref="AD32:AE32"/>
    <mergeCell ref="AF32:AG32"/>
    <mergeCell ref="Z34:AA34"/>
    <mergeCell ref="AB34:AC34"/>
    <mergeCell ref="AD34:AE34"/>
    <mergeCell ref="AF34:AG34"/>
    <mergeCell ref="Z26:AA26"/>
    <mergeCell ref="AB26:AC26"/>
    <mergeCell ref="AD26:AE26"/>
    <mergeCell ref="AF26:AG26"/>
    <mergeCell ref="Z29:AA29"/>
    <mergeCell ref="AB29:AC29"/>
    <mergeCell ref="AD29:AE29"/>
    <mergeCell ref="AF29:AG29"/>
    <mergeCell ref="Z41:AA41"/>
    <mergeCell ref="AB41:AC41"/>
    <mergeCell ref="AD41:AE41"/>
    <mergeCell ref="AF41:AG41"/>
    <mergeCell ref="Z43:AA43"/>
    <mergeCell ref="AB43:AC43"/>
    <mergeCell ref="AD43:AE43"/>
    <mergeCell ref="AF43:AG43"/>
    <mergeCell ref="Z35:AA35"/>
    <mergeCell ref="AB35:AC35"/>
    <mergeCell ref="AD35:AE35"/>
    <mergeCell ref="AF35:AG35"/>
    <mergeCell ref="Z37:AA37"/>
    <mergeCell ref="AB37:AC37"/>
    <mergeCell ref="AD37:AE37"/>
    <mergeCell ref="AF37:AG37"/>
    <mergeCell ref="Z59:AA59"/>
    <mergeCell ref="AB59:AC59"/>
    <mergeCell ref="AD59:AE59"/>
    <mergeCell ref="AF59:AG59"/>
    <mergeCell ref="Z73:AA73"/>
    <mergeCell ref="AB73:AC73"/>
    <mergeCell ref="AD73:AE73"/>
    <mergeCell ref="AF73:AG73"/>
    <mergeCell ref="Z45:AA45"/>
    <mergeCell ref="AB45:AC45"/>
    <mergeCell ref="AD45:AE45"/>
    <mergeCell ref="AF45:AG45"/>
    <mergeCell ref="Z47:AA47"/>
    <mergeCell ref="AB47:AC47"/>
    <mergeCell ref="AD47:AE47"/>
    <mergeCell ref="AF47:AG47"/>
    <mergeCell ref="Z76:AA76"/>
    <mergeCell ref="AB76:AC76"/>
    <mergeCell ref="AD76:AE76"/>
    <mergeCell ref="AF76:AG76"/>
    <mergeCell ref="Z77:AA77"/>
    <mergeCell ref="AB77:AC77"/>
    <mergeCell ref="AD77:AE77"/>
    <mergeCell ref="AF77:AG77"/>
    <mergeCell ref="Z74:AA74"/>
    <mergeCell ref="AB74:AC74"/>
    <mergeCell ref="AD74:AE74"/>
    <mergeCell ref="AF74:AG74"/>
    <mergeCell ref="Z75:AA75"/>
    <mergeCell ref="AB75:AC75"/>
    <mergeCell ref="AD75:AE75"/>
    <mergeCell ref="AF75:AG75"/>
    <mergeCell ref="Z83:AA83"/>
    <mergeCell ref="AB83:AC83"/>
    <mergeCell ref="AD83:AE83"/>
    <mergeCell ref="AF83:AG83"/>
    <mergeCell ref="Z84:AA84"/>
    <mergeCell ref="AB84:AC84"/>
    <mergeCell ref="AD84:AE84"/>
    <mergeCell ref="AF84:AG84"/>
    <mergeCell ref="Z78:AA78"/>
    <mergeCell ref="AB78:AC78"/>
    <mergeCell ref="AD78:AE78"/>
    <mergeCell ref="AF78:AG78"/>
    <mergeCell ref="Z81:AA81"/>
    <mergeCell ref="AB81:AC81"/>
    <mergeCell ref="AD81:AE81"/>
    <mergeCell ref="AF81:AG81"/>
    <mergeCell ref="Z87:AA87"/>
    <mergeCell ref="AB87:AC87"/>
    <mergeCell ref="AD87:AE87"/>
    <mergeCell ref="AF87:AG87"/>
    <mergeCell ref="Z91:AA91"/>
    <mergeCell ref="AB91:AC91"/>
    <mergeCell ref="AD91:AE91"/>
    <mergeCell ref="AF91:AG91"/>
    <mergeCell ref="Z85:AA85"/>
    <mergeCell ref="AB85:AC85"/>
    <mergeCell ref="AD85:AE85"/>
    <mergeCell ref="AF85:AG85"/>
    <mergeCell ref="Z86:AA86"/>
    <mergeCell ref="AB86:AC86"/>
    <mergeCell ref="AD86:AE86"/>
    <mergeCell ref="AF86:AG86"/>
    <mergeCell ref="Z99:AA99"/>
    <mergeCell ref="AB99:AC99"/>
    <mergeCell ref="AD99:AE99"/>
    <mergeCell ref="AF99:AG99"/>
    <mergeCell ref="Z100:AA100"/>
    <mergeCell ref="AB100:AC100"/>
    <mergeCell ref="AD100:AE100"/>
    <mergeCell ref="AF100:AG100"/>
    <mergeCell ref="Z92:AA92"/>
    <mergeCell ref="AB92:AC92"/>
    <mergeCell ref="AD92:AE92"/>
    <mergeCell ref="AF92:AG92"/>
    <mergeCell ref="Z93:AA93"/>
    <mergeCell ref="AB93:AC93"/>
    <mergeCell ref="AD93:AE93"/>
    <mergeCell ref="AF93:AG93"/>
  </mergeCells>
  <printOptions horizontalCentered="1"/>
  <pageMargins left="0.19685039370078741" right="0.19685039370078741" top="0.19685039370078741" bottom="0.19685039370078741" header="0.11811023622047245" footer="0.11811023622047245"/>
  <pageSetup paperSize="9" scale="35" orientation="landscape" r:id="rId1"/>
  <rowBreaks count="1" manualBreakCount="1">
    <brk id="1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24"/>
  <sheetViews>
    <sheetView topLeftCell="A4" workbookViewId="0">
      <selection activeCell="L27" sqref="L27"/>
    </sheetView>
  </sheetViews>
  <sheetFormatPr defaultRowHeight="15" x14ac:dyDescent="0.25"/>
  <sheetData>
    <row r="4" spans="2:3" x14ac:dyDescent="0.25">
      <c r="B4" t="s">
        <v>364</v>
      </c>
      <c r="C4" t="s">
        <v>365</v>
      </c>
    </row>
    <row r="5" spans="2:3" x14ac:dyDescent="0.25">
      <c r="B5">
        <v>178</v>
      </c>
      <c r="C5">
        <v>7</v>
      </c>
    </row>
    <row r="24" spans="2:2" x14ac:dyDescent="0.25">
      <c r="B24">
        <v>2014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итог</vt:lpstr>
      <vt:lpstr>итог (2)</vt:lpstr>
      <vt:lpstr>Лист1</vt:lpstr>
      <vt:lpstr>итог!Заголовки_для_печати</vt:lpstr>
      <vt:lpstr>'итог (2)'!Заголовки_для_печати</vt:lpstr>
      <vt:lpstr>итог!Область_печати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2023-01-16T15:23:16Z</dcterms:modified>
</cp:coreProperties>
</file>