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ПРИЛОЖЕНИЕ" sheetId="13" r:id="rId13"/>
    <sheet name="ПРИЛОЖЕНИЕ_2" sheetId="14" r:id="rId14"/>
    <sheet name="зарплата по КБК начислено" sheetId="15" r:id="rId15"/>
    <sheet name="Ермолкина 2021" sheetId="16" r:id="rId16"/>
    <sheet name="Приложение 3.4" sheetId="17" r:id="rId17"/>
    <sheet name="Лист17" sheetId="18" r:id="rId18"/>
  </sheets>
  <definedNames>
    <definedName name="_FilterDatabase_0_0" localSheetId="7">'август'!$A$53:$E$62</definedName>
    <definedName name="_FilterDatabase_0_0" localSheetId="3">'апрель'!$A$48:$E$57</definedName>
    <definedName name="_FilterDatabase_0_0" localSheetId="11">'декабрь'!$A$59:$E$68</definedName>
    <definedName name="_FilterDatabase_0_0" localSheetId="15">'Ермолкина 2021'!$A$1:$R$40</definedName>
    <definedName name="_FilterDatabase_0_0" localSheetId="6">'июль'!$A$53:$E$62</definedName>
    <definedName name="_FilterDatabase_0_0" localSheetId="5">'июнь'!$A$53:$E$62</definedName>
    <definedName name="_FilterDatabase_0_0" localSheetId="4">'май'!$A$48:$E$57</definedName>
    <definedName name="_FilterDatabase_0_0" localSheetId="2">'март'!$A$47:$E$56</definedName>
    <definedName name="_FilterDatabase_0_0" localSheetId="10">'ноябрь'!$A$53:$E$62</definedName>
    <definedName name="_FilterDatabase_0_0" localSheetId="9">'октябрь'!$A$48:$E$57</definedName>
    <definedName name="_FilterDatabase_0_0" localSheetId="8">'сентябрь'!$A$48:$E$57</definedName>
    <definedName name="_FilterDatabase_0_0" localSheetId="1">'февраль'!$A$46:$E$55</definedName>
    <definedName name="_FilterDatabase_0_0" localSheetId="0">'январь'!$A$45:$E$54</definedName>
    <definedName name="_FilterDatabase_0_0_0" localSheetId="7">'август'!$C$5:$U$31</definedName>
    <definedName name="_FilterDatabase_0_0_0" localSheetId="3">'апрель'!$C$5:$U$31</definedName>
    <definedName name="_FilterDatabase_0_0_0" localSheetId="11">'декабрь'!$C$5:$U$31</definedName>
    <definedName name="_FilterDatabase_0_0_0" localSheetId="6">'июль'!$C$5:$U$31</definedName>
    <definedName name="_FilterDatabase_0_0_0" localSheetId="5">'июнь'!$C$5:$U$31</definedName>
    <definedName name="_FilterDatabase_0_0_0" localSheetId="4">'май'!$C$5:$U$31</definedName>
    <definedName name="_FilterDatabase_0_0_0" localSheetId="2">'март'!$C$5:$U$30</definedName>
    <definedName name="_FilterDatabase_0_0_0" localSheetId="10">'ноябрь'!$C$5:$U$31</definedName>
    <definedName name="_FilterDatabase_0_0_0" localSheetId="9">'октябрь'!$C$5:$U$31</definedName>
    <definedName name="_FilterDatabase_0_0_0" localSheetId="8">'сентябрь'!$C$5:$U$31</definedName>
    <definedName name="_FilterDatabase_0_0_0" localSheetId="1">'февраль'!$C$5:$U$29</definedName>
    <definedName name="_FilterDatabase_0_0_0" localSheetId="0">'январь'!$C$5:$U$29</definedName>
    <definedName name="_xlnm._FilterDatabase" localSheetId="15" hidden="1">'Ермолкина 2021'!$A$7:$Q$40</definedName>
    <definedName name="Print_Area_0" localSheetId="7">'август'!$A$5:$O$44</definedName>
    <definedName name="Print_Area_0" localSheetId="3">'апрель'!$A$5:$O$39</definedName>
    <definedName name="Print_Area_0" localSheetId="6">'июль'!$A$5:$O$44</definedName>
    <definedName name="Print_Area_0" localSheetId="5">'июнь'!$A$5:$O$44</definedName>
    <definedName name="Print_Area_0" localSheetId="4">'май'!$A$5:$O$39</definedName>
    <definedName name="Print_Area_0" localSheetId="2">'март'!$A$5:$O$38</definedName>
    <definedName name="Print_Area_0" localSheetId="9">'октябрь'!$A$5:$O$39</definedName>
    <definedName name="Print_Area_0" localSheetId="12">'ПРИЛОЖЕНИЕ'!$A$1:$Q$56</definedName>
    <definedName name="Print_Area_0" localSheetId="8">'сентябрь'!$A$5:$O$39</definedName>
    <definedName name="Print_Area_0" localSheetId="1">'февраль'!$A$5:$O$37</definedName>
    <definedName name="Print_Area_0" localSheetId="0">'январь'!$A$5:$O$36</definedName>
    <definedName name="Print_Area_0_0" localSheetId="13">'ПРИЛОЖЕНИЕ_2'!$A$1:$Q$56</definedName>
    <definedName name="_xlnm.Print_Titles" localSheetId="15">'Ермолкина 2021'!$5:$7</definedName>
    <definedName name="_xlnm.Print_Area" localSheetId="7">'август'!$A$1:$O$44</definedName>
    <definedName name="_xlnm.Print_Area" localSheetId="3">'апрель'!$A$1:$O$39</definedName>
    <definedName name="_xlnm.Print_Area" localSheetId="11">'декабрь'!$A$1:$O$50</definedName>
    <definedName name="_xlnm.Print_Area" localSheetId="6">'июль'!$A$1:$O$44</definedName>
    <definedName name="_xlnm.Print_Area" localSheetId="5">'июнь'!$A$1:$O$44</definedName>
    <definedName name="_xlnm.Print_Area" localSheetId="4">'май'!$A$1:$O$39</definedName>
    <definedName name="_xlnm.Print_Area" localSheetId="2">'март'!$A$1:$O$38</definedName>
    <definedName name="_xlnm.Print_Area" localSheetId="10">'ноябрь'!$A$1:$O$44</definedName>
    <definedName name="_xlnm.Print_Area" localSheetId="9">'октябрь'!$A$1:$O$39</definedName>
    <definedName name="_xlnm.Print_Area" localSheetId="12">'ПРИЛОЖЕНИЕ'!$A$1:$Q$55</definedName>
    <definedName name="_xlnm.Print_Area" localSheetId="13">'ПРИЛОЖЕНИЕ_2'!$A$1:$Q$55</definedName>
    <definedName name="_xlnm.Print_Area" localSheetId="8">'сентябрь'!$A$1:$O$39</definedName>
    <definedName name="_xlnm.Print_Area" localSheetId="1">'февраль'!$A$1:$O$37</definedName>
    <definedName name="_xlnm.Print_Area" localSheetId="0">'январь'!$A$1:$O$36</definedName>
  </definedNames>
  <calcPr fullCalcOnLoad="1"/>
</workbook>
</file>

<file path=xl/sharedStrings.xml><?xml version="1.0" encoding="utf-8"?>
<sst xmlns="http://schemas.openxmlformats.org/spreadsheetml/2006/main" count="1930" uniqueCount="332">
  <si>
    <t>Приложение 6.1.</t>
  </si>
  <si>
    <t>январь</t>
  </si>
  <si>
    <t>Отклонение по начисленным суммам заработной платы данных проверки с данными в лицевых счетах (+) недоначислено / (-)излишне</t>
  </si>
  <si>
    <t>Фактически перечислено в банк (вторая половина)</t>
  </si>
  <si>
    <t>Переплата (-) / к оплате (+) по данным проверки (гр.11-гр13)</t>
  </si>
  <si>
    <t xml:space="preserve">ФИО </t>
  </si>
  <si>
    <t>Начислено за 2021 год</t>
  </si>
  <si>
    <t>Сумма к выдаче</t>
  </si>
  <si>
    <t xml:space="preserve">вид выплаты </t>
  </si>
  <si>
    <t>сумма</t>
  </si>
  <si>
    <t>вид удержания</t>
  </si>
  <si>
    <t>вид выплаты / размер</t>
  </si>
  <si>
    <t>Коликова Г.А.  15дн.</t>
  </si>
  <si>
    <t>НДФЛ</t>
  </si>
  <si>
    <t xml:space="preserve">Заработная плата за 1 половину </t>
  </si>
  <si>
    <t>Выплаты стимулирующего характера за интенсивность приказ 01а-ТД от 11.01.21 (7056,00)</t>
  </si>
  <si>
    <t>Районный коэффициент 15% и северная надбавка 50%</t>
  </si>
  <si>
    <t>Пособие по временной нетрудоспособности</t>
  </si>
  <si>
    <t>премия за декабрь 2020</t>
  </si>
  <si>
    <t xml:space="preserve">ИТОГО </t>
  </si>
  <si>
    <t>Рантала И.В. 5дн.</t>
  </si>
  <si>
    <t>Оклад по штатному расписанию</t>
  </si>
  <si>
    <t>За стаж непрерывной работы, выслуга — 30%</t>
  </si>
  <si>
    <t>Выплаты стимулирующего характера 60,6%</t>
  </si>
  <si>
    <t>Выплаты стимулирующего характера 13,3%</t>
  </si>
  <si>
    <t xml:space="preserve">Пособие по временной нетрудоспособности </t>
  </si>
  <si>
    <t>Краснова Т.В. 15дн.</t>
  </si>
  <si>
    <t>Доплата до МРОТ</t>
  </si>
  <si>
    <t>Ермолкина Е.Л. 15дн.</t>
  </si>
  <si>
    <t xml:space="preserve"> Стимулирующая выплата приказ №11-ТД от 15.11.2019г.</t>
  </si>
  <si>
    <t>ВСЕГО  в том числе ПВН 5867,49</t>
  </si>
  <si>
    <t xml:space="preserve">Начислено (к получению) </t>
  </si>
  <si>
    <t xml:space="preserve">Фактически перечислено в банк </t>
  </si>
  <si>
    <t>Необходимо перечислить по данным КМ</t>
  </si>
  <si>
    <t>Отклонения</t>
  </si>
  <si>
    <t>Коликова</t>
  </si>
  <si>
    <t>Рантала</t>
  </si>
  <si>
    <t>Краснова</t>
  </si>
  <si>
    <t>Ермолкина</t>
  </si>
  <si>
    <t>ИТОГО</t>
  </si>
  <si>
    <t xml:space="preserve"> удержания</t>
  </si>
  <si>
    <t>КВР</t>
  </si>
  <si>
    <t xml:space="preserve"> НДФЛ, страз.взносы</t>
  </si>
  <si>
    <t>Данные бухгалтера</t>
  </si>
  <si>
    <t>Данные КМ</t>
  </si>
  <si>
    <t>ВСЕГО</t>
  </si>
  <si>
    <t>Приложение 6.2.</t>
  </si>
  <si>
    <t>февраль</t>
  </si>
  <si>
    <t>Коликова Г.А.  19дн.</t>
  </si>
  <si>
    <t>долг за январь</t>
  </si>
  <si>
    <t>Рантала И.В. 19дн.</t>
  </si>
  <si>
    <t>Краснова Т.В. 19дн.</t>
  </si>
  <si>
    <t>Ермолкина Е.Л. 19дн.</t>
  </si>
  <si>
    <t>Премия приказ 01.03.21 №01лс</t>
  </si>
  <si>
    <t>ВСЕГО  в том числе</t>
  </si>
  <si>
    <t>Приложение 6.3.</t>
  </si>
  <si>
    <t>март</t>
  </si>
  <si>
    <t>Коликова Г.А. 22дн.</t>
  </si>
  <si>
    <t>по заявлению</t>
  </si>
  <si>
    <t>Рантала И.В. 21дн.</t>
  </si>
  <si>
    <t>Краснова Т.В. 22дн.</t>
  </si>
  <si>
    <t>Доплата до МРОТ 2792 + доплата за январь-февраль 662*2</t>
  </si>
  <si>
    <t>Премия приказ 25.03.21 №02лс</t>
  </si>
  <si>
    <t>Ермолкина Е.Л. 22дн.</t>
  </si>
  <si>
    <t>по заявл</t>
  </si>
  <si>
    <t>Приложение 6.4.</t>
  </si>
  <si>
    <t>апрель</t>
  </si>
  <si>
    <t>Коликова Г.А. 22дн</t>
  </si>
  <si>
    <t>Рантала И.В. 22дн</t>
  </si>
  <si>
    <t>доплата за 19-20 годы?</t>
  </si>
  <si>
    <t>Краснова Т.В. 22дн</t>
  </si>
  <si>
    <t>Ермолкина Е.Л. 22дн</t>
  </si>
  <si>
    <t>доплата за 19-20 годы? С 1,65</t>
  </si>
  <si>
    <t>Приложение 6.5.</t>
  </si>
  <si>
    <t>май</t>
  </si>
  <si>
    <t>Коликова Г.А. 19дн</t>
  </si>
  <si>
    <t>долг за апрель</t>
  </si>
  <si>
    <t>Рантала И.В. 22 дн</t>
  </si>
  <si>
    <t>Распоряжение 36 от 01.06.21</t>
  </si>
  <si>
    <t>Краснова Т.В. 19дн</t>
  </si>
  <si>
    <t>премия приказ 28.5.21 №09лс</t>
  </si>
  <si>
    <t>Ермолкина Е.Л.19дн</t>
  </si>
  <si>
    <t>по заяв</t>
  </si>
  <si>
    <t>Приложение 6.6.</t>
  </si>
  <si>
    <t>июнь</t>
  </si>
  <si>
    <t>Коликова Г.А. 21дн</t>
  </si>
  <si>
    <t>Рантала И.В. 21 дн</t>
  </si>
  <si>
    <t>Начисления на основании актов проверки за 2019-2020 года</t>
  </si>
  <si>
    <t>Краснова Т.В. 16дн</t>
  </si>
  <si>
    <t>Ермолкина Е.Л. 21дн</t>
  </si>
  <si>
    <t>премия приказ 29.06 № 12 лс</t>
  </si>
  <si>
    <t xml:space="preserve">премия приказ 29.06 № 12 лс </t>
  </si>
  <si>
    <t>Рантала Н.А 5 дн</t>
  </si>
  <si>
    <t xml:space="preserve">Оклад по штатному расписанию </t>
  </si>
  <si>
    <t>нет в табеле</t>
  </si>
  <si>
    <t>не идет с Ж/О 119904,24  на доплаты</t>
  </si>
  <si>
    <t>Приложение 6.7.</t>
  </si>
  <si>
    <t>июль</t>
  </si>
  <si>
    <t>Рантала И.В. 0 дн</t>
  </si>
  <si>
    <t>отпуск</t>
  </si>
  <si>
    <t>долг по зарплате</t>
  </si>
  <si>
    <t>Отпуск 01.07-16.08 47 дн</t>
  </si>
  <si>
    <t>Краснова Т.В.1дн</t>
  </si>
  <si>
    <t>Отпуск 08.07-20.08 44 дн</t>
  </si>
  <si>
    <t>Ермолкина Е.Л.0дн</t>
  </si>
  <si>
    <t>Отпуск 01.07-13.08 44 дн</t>
  </si>
  <si>
    <t>Рантала Н.А4 дн</t>
  </si>
  <si>
    <t>Рантала Н.А</t>
  </si>
  <si>
    <t>Приложение 6.8.</t>
  </si>
  <si>
    <t>август</t>
  </si>
  <si>
    <t>Рантала И.В. 11 дн</t>
  </si>
  <si>
    <t>Краснова Т.В. 7дн</t>
  </si>
  <si>
    <t>Ермолкина Е.Л.12дн</t>
  </si>
  <si>
    <t>Рантала Н.А 0 дн</t>
  </si>
  <si>
    <t>в ж/о 6 8229</t>
  </si>
  <si>
    <t>Приложение 6.9.</t>
  </si>
  <si>
    <t>сентябрь</t>
  </si>
  <si>
    <t>премия приказ  0110.21 №14лс</t>
  </si>
  <si>
    <t>в жо 15457</t>
  </si>
  <si>
    <t>Приложение 6.10.</t>
  </si>
  <si>
    <t>октябрь</t>
  </si>
  <si>
    <t>Рантала И.В. 21дн</t>
  </si>
  <si>
    <t>Краснова Т.В. 21дн</t>
  </si>
  <si>
    <t>в жо 13955</t>
  </si>
  <si>
    <t>Приложение 6.11.</t>
  </si>
  <si>
    <t>ноябрь</t>
  </si>
  <si>
    <t>Коликова Г.А. 10дн</t>
  </si>
  <si>
    <t>Отпуск 17.11-14.12 28 дн</t>
  </si>
  <si>
    <t>Рантала И.В. 20 дн</t>
  </si>
  <si>
    <t>Краснова Т.В. 6дн</t>
  </si>
  <si>
    <t>премия приказ 29.10.21 №16лс</t>
  </si>
  <si>
    <t>премия</t>
  </si>
  <si>
    <t>Ермолкина Е.Л. 20дн</t>
  </si>
  <si>
    <t>премия приказ 29.10.21 №15лс</t>
  </si>
  <si>
    <t>Рантала Н.А 14 дн</t>
  </si>
  <si>
    <t xml:space="preserve"> </t>
  </si>
  <si>
    <t>в жо 17796</t>
  </si>
  <si>
    <t>Приложение 6.12.</t>
  </si>
  <si>
    <t>декабрь</t>
  </si>
  <si>
    <t>Коликова Г.А.  5дн</t>
  </si>
  <si>
    <t>Краснова Т.В. 20дн</t>
  </si>
  <si>
    <t>работа в выходной 04.12 приказ 07.12.21 №19лс</t>
  </si>
  <si>
    <t>ночные 2ч</t>
  </si>
  <si>
    <t>Рантала Н.А 2 дн</t>
  </si>
  <si>
    <t>Левкина А.А. 8 дн</t>
  </si>
  <si>
    <t>Выплаты стимулирующего характера за интенсивность</t>
  </si>
  <si>
    <t>ВСЕГО  в том числе ПВН 2366,32</t>
  </si>
  <si>
    <t>в ж/о 72863,32</t>
  </si>
  <si>
    <t>Приложение № 6 к Акту</t>
  </si>
  <si>
    <t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t>
  </si>
  <si>
    <t>По данным  расчетных ведомостей и карточек-справок</t>
  </si>
  <si>
    <t>По данным проверки контрольного мероприятия</t>
  </si>
  <si>
    <t>Отклонение по начисленным суммам заработной платы данных проверки с данными в лицевых счетах (+) недоначислено / (-)излишне начислено</t>
  </si>
  <si>
    <t>Переплата (-) / к доплате (+) по данным проверки (гр.11-гр13)</t>
  </si>
  <si>
    <t>Удержано за 2021 год</t>
  </si>
  <si>
    <t>основание</t>
  </si>
  <si>
    <t xml:space="preserve">Коликова Г.А. </t>
  </si>
  <si>
    <t>За наличие квалификационной категории - 3%</t>
  </si>
  <si>
    <t>За наличие квалификационной категории — 3%</t>
  </si>
  <si>
    <t>За стаж непрерывной работы, выслуга - 30%</t>
  </si>
  <si>
    <t>Выплаты стимулирующего характера</t>
  </si>
  <si>
    <t xml:space="preserve">Начислено отпускных </t>
  </si>
  <si>
    <t>Начислено отпускных</t>
  </si>
  <si>
    <t xml:space="preserve">ИТОГО  </t>
  </si>
  <si>
    <t>Рантала И.В</t>
  </si>
  <si>
    <t xml:space="preserve">Выплаты стимулирующего характера за качество выполняемых работ 60,6% </t>
  </si>
  <si>
    <t>Выплаты стимулирующего характера за интенсивность и высокие результаты работы 13,3%</t>
  </si>
  <si>
    <t>доплата за 19-20 годы</t>
  </si>
  <si>
    <t>Краснова Т.В</t>
  </si>
  <si>
    <t>приказа нет</t>
  </si>
  <si>
    <t>премии</t>
  </si>
  <si>
    <t xml:space="preserve">отпуск </t>
  </si>
  <si>
    <t>Отпуск</t>
  </si>
  <si>
    <t xml:space="preserve">Ермолкина Е.Л. </t>
  </si>
  <si>
    <t>Левкина А.А.</t>
  </si>
  <si>
    <t>ВСЕГО  в том числе пособие по временной нетрудоспособности 8233,81</t>
  </si>
  <si>
    <t>переч з/п</t>
  </si>
  <si>
    <t>Перечислено</t>
  </si>
  <si>
    <t>обтл с бух</t>
  </si>
  <si>
    <t>отк КМ</t>
  </si>
  <si>
    <t>Приложение № 5</t>
  </si>
  <si>
    <t>начислено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</si>
  <si>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</si>
  <si>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</si>
  <si>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</si>
  <si>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</si>
  <si>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</si>
  <si>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</si>
  <si>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</si>
  <si>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</si>
  <si>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</si>
  <si>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</si>
  <si>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</si>
  <si>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оплата</t>
  </si>
  <si>
    <t>страхов.взносы начис</t>
  </si>
  <si>
    <t>переч</t>
  </si>
  <si>
    <t>11029901170010</t>
  </si>
  <si>
    <t>08019900843250</t>
  </si>
  <si>
    <t>08019900870010</t>
  </si>
  <si>
    <t>итого</t>
  </si>
  <si>
    <t xml:space="preserve">К выплате </t>
  </si>
  <si>
    <r>
      <rPr>
        <sz val="11"/>
        <color rgb="FF000000"/>
        <rFont val="Calibri"/>
        <family val="2"/>
      </rPr>
      <t>б/л</t>
    </r>
    <r>
      <rPr>
        <sz val="10.5"/>
        <color indexed="55"/>
        <rFont val="Times New Roman"/>
        <family val="1"/>
      </rPr>
      <t>08019900064020</t>
    </r>
  </si>
  <si>
    <t>ф. 050127</t>
  </si>
  <si>
    <t>начисленно по данным бух. Учета</t>
  </si>
  <si>
    <t>перечислено</t>
  </si>
  <si>
    <t>недоимка</t>
  </si>
  <si>
    <t>отклонения</t>
  </si>
  <si>
    <t>(рублей)</t>
  </si>
  <si>
    <t>Месяц</t>
  </si>
  <si>
    <t xml:space="preserve">Начислено за 2021 год по коду бюджетной классификации 01411029901170010111 </t>
  </si>
  <si>
    <t>Перечислено в банк заработной платы согласно реестра</t>
  </si>
  <si>
    <t>Перечислено НДФЛ, Перечислено в доход бюджета по заявлению</t>
  </si>
  <si>
    <t>Перечислены начисления на выплаты по оплате труда</t>
  </si>
  <si>
    <t xml:space="preserve">Перечислено не в соответствии с бюджетной классификацией  по зарплате
</t>
  </si>
  <si>
    <t xml:space="preserve">Перечислено не в соответствии с бюджетной классификацией  по НДФЛ </t>
  </si>
  <si>
    <t>Перечислено не в соответствии с бюджетной классификацией начислений выплаты по оплате труда</t>
  </si>
  <si>
    <t>Начислено
за 2021 год</t>
  </si>
  <si>
    <t>Удержано НДФЛ</t>
  </si>
  <si>
    <t>Удержано по заявлению</t>
  </si>
  <si>
    <t>Дата, №</t>
  </si>
  <si>
    <t>Сумма</t>
  </si>
  <si>
    <t>КБК</t>
  </si>
  <si>
    <t>5=2-3</t>
  </si>
  <si>
    <t>Январь</t>
  </si>
  <si>
    <t>01408019900870010111</t>
  </si>
  <si>
    <t>11.02.21 №173079</t>
  </si>
  <si>
    <t>11.01.21 №№ 173078, 173081, 173083</t>
  </si>
  <si>
    <t>01408019900870010119</t>
  </si>
  <si>
    <t>10.03.21 №№ 454537, 454538, 454538, 454540</t>
  </si>
  <si>
    <t>06.04.21 №№ 767154, 767155, 767158, 767159</t>
  </si>
  <si>
    <t>30.04.21 №№ 194118, 194119, 194120, 194121</t>
  </si>
  <si>
    <t>15.06.21 №№ 714204, 714206, 714208, 714209</t>
  </si>
  <si>
    <t>01411029901170010111</t>
  </si>
  <si>
    <t>01411029901170010119</t>
  </si>
  <si>
    <t xml:space="preserve">16.07.21 №№ 219636, 219637, 219638, 219639 </t>
  </si>
  <si>
    <t>4882</t>
  </si>
  <si>
    <t xml:space="preserve">15.07.21 №№ 203419, 203420, 203421. 203425 </t>
  </si>
  <si>
    <t>11153</t>
  </si>
  <si>
    <t>16.08.21 №№ 535929, 535930, 535932, 535933</t>
  </si>
  <si>
    <t>06.09.21 №№ 762159, 762161, 762163, 762165</t>
  </si>
  <si>
    <t>-</t>
  </si>
  <si>
    <t>01408019900843250111</t>
  </si>
  <si>
    <t>0</t>
  </si>
  <si>
    <t>27.12.21 №№ 480804, 480805, 480806, 480807</t>
  </si>
  <si>
    <t>3020</t>
  </si>
  <si>
    <t>01408019900843250119</t>
  </si>
  <si>
    <t>23.12.21 №434288</t>
  </si>
  <si>
    <t>8214,99</t>
  </si>
  <si>
    <t>23.12.21 №434281</t>
  </si>
  <si>
    <t>14744,49</t>
  </si>
  <si>
    <t>959,55</t>
  </si>
  <si>
    <t>7760</t>
  </si>
  <si>
    <t>в том числе:</t>
  </si>
  <si>
    <t>Всего по КВР 111:   по КБК 01411029901170010111 — 354582,15</t>
  </si>
  <si>
    <t>Всего по КВР 119  :   по КБК 01411029901170010119 — 105501,97</t>
  </si>
  <si>
    <t xml:space="preserve">                                   по КБК 01408019900843250111 — 11000,00</t>
  </si>
  <si>
    <t xml:space="preserve">                                     по КБК 01408019900843250119 — 3322,00</t>
  </si>
  <si>
    <t>Приложение 3.4</t>
  </si>
  <si>
    <t xml:space="preserve">Фактическое начисление и перечисление заработной платыуборщице служебных помещений "Культурно-спортивный комплекс Янишпольского сельского поселения" Красновой Т.В., удержанного НДФЛ за 2018 год </t>
  </si>
  <si>
    <t>ПО ДАННЫМ ЛИЦЕВЫХ СЧЕТОВ</t>
  </si>
  <si>
    <t>ПО ДАННЫМ ПРОВЕРКИ</t>
  </si>
  <si>
    <t>Перечислено в банк/
выплачено из кассы</t>
  </si>
  <si>
    <r>
      <rPr>
        <sz val="9"/>
        <color indexed="55"/>
        <rFont val="Times New Roman"/>
        <family val="1"/>
      </rPr>
      <t xml:space="preserve">ОТКЛОНЕНИЕ
излишне перечислено (выплачено) (-)/ задолженность перед </t>
    </r>
    <r>
      <rPr>
        <sz val="10"/>
        <color indexed="55"/>
        <rFont val="Times New Roman"/>
        <family val="1"/>
      </rPr>
      <t>Красновой Т.В</t>
    </r>
    <r>
      <rPr>
        <sz val="9"/>
        <color indexed="55"/>
        <rFont val="Times New Roman"/>
        <family val="1"/>
      </rPr>
      <t xml:space="preserve"> (+)
(по данным проверки)</t>
    </r>
  </si>
  <si>
    <t>Начислено
за 2018 год</t>
  </si>
  <si>
    <r>
      <rPr>
        <sz val="9"/>
        <color indexed="55"/>
        <rFont val="Times New Roman"/>
        <family val="1"/>
      </rPr>
      <t xml:space="preserve">Сумма к
выплате </t>
    </r>
    <r>
      <rPr>
        <sz val="10"/>
        <color indexed="55"/>
        <rFont val="Times New Roman"/>
        <family val="1"/>
      </rPr>
      <t>Красновой Т.В</t>
    </r>
  </si>
  <si>
    <t>5=2-3-4</t>
  </si>
  <si>
    <t>9=6-7-8</t>
  </si>
  <si>
    <t>13=9-11</t>
  </si>
  <si>
    <t>19.01.18 №450396</t>
  </si>
  <si>
    <t>01408019900870010</t>
  </si>
  <si>
    <t>06.02.18 №540670</t>
  </si>
  <si>
    <t>26.02.18 №657076</t>
  </si>
  <si>
    <t>06.03.18 №715832</t>
  </si>
  <si>
    <t>014080199000064020</t>
  </si>
  <si>
    <t>21.03.18 №806402</t>
  </si>
  <si>
    <t>06.04.18 №11717</t>
  </si>
  <si>
    <t>20.04.18 №111238</t>
  </si>
  <si>
    <t>04.05.18 №185989</t>
  </si>
  <si>
    <t>21.05.18 №294081</t>
  </si>
  <si>
    <t>08.06.18 №421033</t>
  </si>
  <si>
    <t>21.06.18 №502523</t>
  </si>
  <si>
    <t>18.07.18 №681458</t>
  </si>
  <si>
    <t>21.06.18 №502524</t>
  </si>
  <si>
    <t>07.08.18 №802513</t>
  </si>
  <si>
    <t>06.09.18 №887671</t>
  </si>
  <si>
    <t>01408019900843250</t>
  </si>
  <si>
    <t>21.09.18 №202501</t>
  </si>
  <si>
    <t>05.10.18 №308117</t>
  </si>
  <si>
    <t>19.10.18 №414781</t>
  </si>
  <si>
    <t>06.11.18 №539639</t>
  </si>
  <si>
    <t>Приложение №3
к Отчету от 26 мая 2021 года №1</t>
  </si>
  <si>
    <r>
      <t xml:space="preserve">Начисления
</t>
    </r>
    <r>
      <rPr>
        <b/>
        <sz val="8"/>
        <rFont val="Times New Roman"/>
        <family val="1"/>
      </rPr>
      <t>на выплаты по оплате труда</t>
    </r>
  </si>
  <si>
    <r>
      <t>10.03.21 №</t>
    </r>
    <r>
      <rPr>
        <sz val="10"/>
        <rFont val="Times New Roman"/>
        <family val="1"/>
      </rPr>
      <t>448994</t>
    </r>
  </si>
  <si>
    <r>
      <t>06.04.21 №</t>
    </r>
    <r>
      <rPr>
        <sz val="10"/>
        <rFont val="Times New Roman"/>
        <family val="1"/>
      </rPr>
      <t>767157</t>
    </r>
  </si>
  <si>
    <r>
      <t>30.04.21 №</t>
    </r>
    <r>
      <rPr>
        <sz val="10"/>
        <rFont val="Times New Roman"/>
        <family val="1"/>
      </rPr>
      <t>194122</t>
    </r>
  </si>
  <si>
    <r>
      <t>15.06.21 №</t>
    </r>
    <r>
      <rPr>
        <sz val="10"/>
        <rFont val="Times New Roman"/>
        <family val="1"/>
      </rPr>
      <t>714205</t>
    </r>
  </si>
  <si>
    <r>
      <t>11.06.21 №</t>
    </r>
    <r>
      <rPr>
        <sz val="10"/>
        <rFont val="Times New Roman"/>
        <family val="1"/>
      </rPr>
      <t xml:space="preserve">695562; </t>
    </r>
    <r>
      <rPr>
        <sz val="9"/>
        <rFont val="Times New Roman"/>
        <family val="1"/>
      </rPr>
      <t>15.06.21 №714200; 16.06.21 №732691</t>
    </r>
  </si>
  <si>
    <r>
      <t>15.07.21 №</t>
    </r>
    <r>
      <rPr>
        <sz val="10"/>
        <rFont val="Times New Roman"/>
        <family val="1"/>
      </rPr>
      <t>203424</t>
    </r>
  </si>
  <si>
    <r>
      <t>16.08.21 №</t>
    </r>
    <r>
      <rPr>
        <sz val="10"/>
        <rFont val="Times New Roman"/>
        <family val="1"/>
      </rPr>
      <t>535935</t>
    </r>
  </si>
  <si>
    <r>
      <t>06.09.21 №</t>
    </r>
    <r>
      <rPr>
        <sz val="10"/>
        <rFont val="Times New Roman"/>
        <family val="1"/>
      </rPr>
      <t>762168</t>
    </r>
  </si>
  <si>
    <r>
      <t>06.10.21 №</t>
    </r>
    <r>
      <rPr>
        <sz val="10"/>
        <rFont val="Times New Roman"/>
        <family val="1"/>
      </rPr>
      <t>227374</t>
    </r>
  </si>
  <si>
    <r>
      <t>23.12.2021 №</t>
    </r>
    <r>
      <rPr>
        <sz val="10"/>
        <rFont val="Times New Roman"/>
        <family val="1"/>
      </rPr>
      <t>436981</t>
    </r>
  </si>
  <si>
    <r>
      <t>24.12.2021 №</t>
    </r>
    <r>
      <rPr>
        <sz val="10"/>
        <rFont val="Times New Roman"/>
        <family val="1"/>
      </rPr>
      <t>455882</t>
    </r>
  </si>
  <si>
    <r>
      <t>28.12.21 №</t>
    </r>
    <r>
      <rPr>
        <sz val="10"/>
        <rFont val="Times New Roman"/>
        <family val="1"/>
      </rPr>
      <t>523589</t>
    </r>
  </si>
  <si>
    <t xml:space="preserve">                                   по КБК 01408019900870010111 — 73500,07</t>
  </si>
  <si>
    <t xml:space="preserve">                                     по КБК 01408019900870010119 — 23580,75</t>
  </si>
  <si>
    <t>28.12.21 перенос кассового расхода</t>
  </si>
  <si>
    <r>
      <t>22.11.2021 №</t>
    </r>
    <r>
      <rPr>
        <sz val="10"/>
        <rFont val="Times New Roman"/>
        <family val="1"/>
      </rPr>
      <t>856994</t>
    </r>
  </si>
  <si>
    <r>
      <t>01.11.2021 №</t>
    </r>
    <r>
      <rPr>
        <sz val="10"/>
        <rFont val="Times New Roman"/>
        <family val="1"/>
      </rPr>
      <t>593151</t>
    </r>
    <r>
      <rPr>
        <sz val="9"/>
        <rFont val="Times New Roman"/>
        <family val="1"/>
      </rPr>
      <t xml:space="preserve"> </t>
    </r>
  </si>
  <si>
    <r>
      <t>29.10.2021 №</t>
    </r>
    <r>
      <rPr>
        <sz val="10"/>
        <rFont val="Times New Roman"/>
        <family val="1"/>
      </rPr>
      <t>580625</t>
    </r>
  </si>
  <si>
    <t>21.10.2021 №462147</t>
  </si>
  <si>
    <r>
      <t>06.10.2021 №</t>
    </r>
    <r>
      <rPr>
        <sz val="10"/>
        <rFont val="Times New Roman"/>
        <family val="1"/>
      </rPr>
      <t>226824</t>
    </r>
  </si>
  <si>
    <r>
      <t>21.09.2021 №</t>
    </r>
    <r>
      <rPr>
        <sz val="10"/>
        <rFont val="Times New Roman"/>
        <family val="1"/>
      </rPr>
      <t>37459</t>
    </r>
  </si>
  <si>
    <r>
      <t>06.09.2021 №</t>
    </r>
    <r>
      <rPr>
        <sz val="10"/>
        <rFont val="Times New Roman"/>
        <family val="1"/>
      </rPr>
      <t>761385</t>
    </r>
  </si>
  <si>
    <r>
      <t>30.06.2021 №</t>
    </r>
    <r>
      <rPr>
        <sz val="10"/>
        <rFont val="Times New Roman"/>
        <family val="1"/>
      </rPr>
      <t>2539</t>
    </r>
  </si>
  <si>
    <r>
      <t>14.07.2021 №</t>
    </r>
    <r>
      <rPr>
        <sz val="10"/>
        <rFont val="Times New Roman"/>
        <family val="1"/>
      </rPr>
      <t>183552</t>
    </r>
  </si>
  <si>
    <r>
      <t>21.06.2021 №</t>
    </r>
    <r>
      <rPr>
        <sz val="10"/>
        <rFont val="Times New Roman"/>
        <family val="1"/>
      </rPr>
      <t>793205</t>
    </r>
  </si>
  <si>
    <t>29.06.21 перенос кассового расхода</t>
  </si>
  <si>
    <r>
      <t>11.06.2021 №</t>
    </r>
    <r>
      <rPr>
        <sz val="10"/>
        <rFont val="Times New Roman"/>
        <family val="1"/>
      </rPr>
      <t>695058</t>
    </r>
  </si>
  <si>
    <r>
      <t>08.06.2021 №</t>
    </r>
    <r>
      <rPr>
        <sz val="10"/>
        <rFont val="Times New Roman"/>
        <family val="1"/>
      </rPr>
      <t>636769</t>
    </r>
  </si>
  <si>
    <r>
      <t>21.05.2021 №</t>
    </r>
    <r>
      <rPr>
        <sz val="10"/>
        <rFont val="Times New Roman"/>
        <family val="1"/>
      </rPr>
      <t>421813</t>
    </r>
  </si>
  <si>
    <r>
      <t>30.04.2021 №</t>
    </r>
    <r>
      <rPr>
        <sz val="10"/>
        <rFont val="Times New Roman"/>
        <family val="1"/>
      </rPr>
      <t>195215</t>
    </r>
  </si>
  <si>
    <r>
      <t>21.04.2021 №</t>
    </r>
    <r>
      <rPr>
        <sz val="10"/>
        <rFont val="Times New Roman"/>
        <family val="1"/>
      </rPr>
      <t>51879</t>
    </r>
  </si>
  <si>
    <r>
      <t>21.01.2021 №</t>
    </r>
    <r>
      <rPr>
        <sz val="10"/>
        <rFont val="Times New Roman"/>
        <family val="1"/>
      </rPr>
      <t>820925</t>
    </r>
  </si>
  <si>
    <r>
      <t>20.02.2021 №</t>
    </r>
    <r>
      <rPr>
        <sz val="10"/>
        <rFont val="Times New Roman"/>
        <family val="1"/>
      </rPr>
      <t>281116</t>
    </r>
    <r>
      <rPr>
        <sz val="9"/>
        <rFont val="Times New Roman"/>
        <family val="1"/>
      </rPr>
      <t xml:space="preserve"> </t>
    </r>
  </si>
  <si>
    <r>
      <t>05.02.2021 №</t>
    </r>
    <r>
      <rPr>
        <sz val="10"/>
        <rFont val="Times New Roman"/>
        <family val="1"/>
      </rPr>
      <t>109303</t>
    </r>
  </si>
  <si>
    <t>05.03.2021 №415330</t>
  </si>
  <si>
    <r>
      <t>24.03.2021 №</t>
    </r>
    <r>
      <rPr>
        <sz val="10"/>
        <rFont val="Times New Roman"/>
        <family val="1"/>
      </rPr>
      <t>610623</t>
    </r>
  </si>
  <si>
    <r>
      <t>06.04.2021 №</t>
    </r>
    <r>
      <rPr>
        <sz val="10"/>
        <rFont val="Times New Roman"/>
        <family val="1"/>
      </rPr>
      <t>766249</t>
    </r>
  </si>
  <si>
    <t xml:space="preserve">Информация
по начисленной и выплаченной заработной плате методисту по спорту, удержанном и перечисленном налоге на доходы физических лиц,
начисленных и уплаченных страховых взносах за 2021 год  </t>
  </si>
  <si>
    <t>Сумма к
выплате главного бухгалтера КСК "Янишполе"</t>
  </si>
  <si>
    <t>24.12.21 №№ 456886, 456887, 480806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</si>
</sst>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0.0%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</numFmts>
  <fonts count="8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55"/>
      <name val="Calibri"/>
      <family val="2"/>
    </font>
    <font>
      <b/>
      <sz val="11"/>
      <color indexed="55"/>
      <name val="Calibri"/>
      <family val="2"/>
    </font>
    <font>
      <b/>
      <sz val="9"/>
      <color indexed="55"/>
      <name val="Times New Roman"/>
      <family val="1"/>
    </font>
    <font>
      <b/>
      <sz val="9"/>
      <color indexed="55"/>
      <name val="Calibri"/>
      <family val="2"/>
    </font>
    <font>
      <b/>
      <sz val="6"/>
      <color indexed="55"/>
      <name val="Calibri"/>
      <family val="2"/>
    </font>
    <font>
      <b/>
      <sz val="11"/>
      <color indexed="55"/>
      <name val="Times New Roman"/>
      <family val="1"/>
    </font>
    <font>
      <sz val="10.5"/>
      <color indexed="55"/>
      <name val="Calibri"/>
      <family val="2"/>
    </font>
    <font>
      <b/>
      <sz val="10"/>
      <color indexed="55"/>
      <name val="Calibri"/>
      <family val="2"/>
    </font>
    <font>
      <sz val="11"/>
      <color indexed="55"/>
      <name val="Times New Roman"/>
      <family val="1"/>
    </font>
    <font>
      <b/>
      <sz val="7"/>
      <color indexed="55"/>
      <name val="Calibri"/>
      <family val="2"/>
    </font>
    <font>
      <b/>
      <sz val="10"/>
      <color indexed="55"/>
      <name val="Times New Roman"/>
      <family val="1"/>
    </font>
    <font>
      <sz val="10"/>
      <color indexed="55"/>
      <name val="Calibri"/>
      <family val="2"/>
    </font>
    <font>
      <b/>
      <sz val="10.5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Times New Roman"/>
      <family val="1"/>
    </font>
    <font>
      <b/>
      <sz val="6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7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66" fillId="0" borderId="10" xfId="0" applyNumberFormat="1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left" vertical="center" wrapText="1"/>
    </xf>
    <xf numFmtId="4" fontId="66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wrapText="1"/>
    </xf>
    <xf numFmtId="4" fontId="67" fillId="0" borderId="10" xfId="0" applyNumberFormat="1" applyFont="1" applyBorder="1" applyAlignment="1">
      <alignment/>
    </xf>
    <xf numFmtId="4" fontId="67" fillId="0" borderId="10" xfId="0" applyNumberFormat="1" applyFont="1" applyBorder="1" applyAlignment="1">
      <alignment horizontal="center" vertical="center"/>
    </xf>
    <xf numFmtId="164" fontId="64" fillId="0" borderId="0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4" fontId="68" fillId="0" borderId="11" xfId="0" applyNumberFormat="1" applyFont="1" applyBorder="1" applyAlignment="1">
      <alignment horizontal="center" vertical="center"/>
    </xf>
    <xf numFmtId="165" fontId="67" fillId="0" borderId="11" xfId="0" applyNumberFormat="1" applyFont="1" applyBorder="1" applyAlignment="1">
      <alignment horizontal="center" vertical="center"/>
    </xf>
    <xf numFmtId="2" fontId="69" fillId="0" borderId="0" xfId="0" applyNumberFormat="1" applyFont="1" applyAlignment="1">
      <alignment/>
    </xf>
    <xf numFmtId="4" fontId="68" fillId="0" borderId="11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4" fontId="66" fillId="33" borderId="10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3" fontId="6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72" fillId="0" borderId="0" xfId="0" applyFont="1" applyBorder="1" applyAlignment="1">
      <alignment horizontal="righ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2" fontId="74" fillId="0" borderId="0" xfId="0" applyNumberFormat="1" applyFont="1" applyAlignment="1">
      <alignment/>
    </xf>
    <xf numFmtId="0" fontId="66" fillId="0" borderId="0" xfId="0" applyFont="1" applyBorder="1" applyAlignment="1">
      <alignment horizontal="center" vertical="center"/>
    </xf>
    <xf numFmtId="4" fontId="6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66" fillId="0" borderId="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3" fillId="0" borderId="10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2" fontId="75" fillId="0" borderId="0" xfId="0" applyNumberFormat="1" applyFont="1" applyAlignment="1">
      <alignment/>
    </xf>
    <xf numFmtId="4" fontId="68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6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9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0" fillId="0" borderId="0" xfId="0" applyFont="1" applyAlignment="1">
      <alignment/>
    </xf>
    <xf numFmtId="49" fontId="76" fillId="0" borderId="10" xfId="0" applyNumberFormat="1" applyFont="1" applyBorder="1" applyAlignment="1">
      <alignment/>
    </xf>
    <xf numFmtId="49" fontId="76" fillId="0" borderId="10" xfId="0" applyNumberFormat="1" applyFont="1" applyBorder="1" applyAlignment="1">
      <alignment/>
    </xf>
    <xf numFmtId="49" fontId="72" fillId="34" borderId="10" xfId="0" applyNumberFormat="1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 wrapText="1"/>
    </xf>
    <xf numFmtId="0" fontId="79" fillId="0" borderId="11" xfId="0" applyFont="1" applyBorder="1" applyAlignment="1">
      <alignment horizontal="center" vertical="center" wrapText="1"/>
    </xf>
    <xf numFmtId="49" fontId="79" fillId="0" borderId="11" xfId="0" applyNumberFormat="1" applyFont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166" fontId="80" fillId="35" borderId="11" xfId="0" applyNumberFormat="1" applyFont="1" applyFill="1" applyBorder="1" applyAlignment="1">
      <alignment horizontal="right" vertical="center" wrapText="1"/>
    </xf>
    <xf numFmtId="49" fontId="80" fillId="35" borderId="11" xfId="0" applyNumberFormat="1" applyFont="1" applyFill="1" applyBorder="1" applyAlignment="1">
      <alignment horizontal="right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166" fontId="79" fillId="0" borderId="11" xfId="0" applyNumberFormat="1" applyFont="1" applyBorder="1" applyAlignment="1">
      <alignment horizontal="right" vertical="center" wrapText="1"/>
    </xf>
    <xf numFmtId="166" fontId="79" fillId="0" borderId="12" xfId="0" applyNumberFormat="1" applyFont="1" applyBorder="1" applyAlignment="1">
      <alignment horizontal="right" vertical="center" wrapText="1"/>
    </xf>
    <xf numFmtId="14" fontId="79" fillId="0" borderId="11" xfId="0" applyNumberFormat="1" applyFont="1" applyBorder="1" applyAlignment="1">
      <alignment horizontal="left" vertical="center" wrapText="1" indent="1"/>
    </xf>
    <xf numFmtId="166" fontId="79" fillId="0" borderId="13" xfId="0" applyNumberFormat="1" applyFont="1" applyBorder="1" applyAlignment="1">
      <alignment horizontal="right" vertical="center" wrapText="1"/>
    </xf>
    <xf numFmtId="0" fontId="79" fillId="0" borderId="14" xfId="0" applyFont="1" applyBorder="1" applyAlignment="1">
      <alignment horizontal="left" vertical="center" wrapText="1"/>
    </xf>
    <xf numFmtId="166" fontId="79" fillId="0" borderId="14" xfId="0" applyNumberFormat="1" applyFont="1" applyBorder="1" applyAlignment="1">
      <alignment horizontal="right" vertical="center" wrapText="1"/>
    </xf>
    <xf numFmtId="166" fontId="79" fillId="0" borderId="15" xfId="0" applyNumberFormat="1" applyFont="1" applyBorder="1" applyAlignment="1">
      <alignment horizontal="right" vertical="center" wrapText="1"/>
    </xf>
    <xf numFmtId="166" fontId="80" fillId="35" borderId="12" xfId="0" applyNumberFormat="1" applyFont="1" applyFill="1" applyBorder="1" applyAlignment="1">
      <alignment horizontal="right" vertical="center" wrapText="1"/>
    </xf>
    <xf numFmtId="166" fontId="80" fillId="35" borderId="13" xfId="0" applyNumberFormat="1" applyFont="1" applyFill="1" applyBorder="1" applyAlignment="1">
      <alignment horizontal="right" vertical="center" wrapText="1"/>
    </xf>
    <xf numFmtId="14" fontId="80" fillId="35" borderId="11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166" fontId="14" fillId="35" borderId="11" xfId="0" applyNumberFormat="1" applyFont="1" applyFill="1" applyBorder="1" applyAlignment="1">
      <alignment horizontal="right" vertical="center" wrapText="1"/>
    </xf>
    <xf numFmtId="166" fontId="14" fillId="35" borderId="11" xfId="0" applyNumberFormat="1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14" fillId="35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67" fillId="0" borderId="11" xfId="0" applyNumberFormat="1" applyFont="1" applyBorder="1" applyAlignment="1">
      <alignment horizontal="center"/>
    </xf>
    <xf numFmtId="4" fontId="68" fillId="0" borderId="11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4" fontId="66" fillId="0" borderId="10" xfId="0" applyNumberFormat="1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 wrapText="1"/>
    </xf>
    <xf numFmtId="0" fontId="8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right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6" fontId="79" fillId="0" borderId="11" xfId="0" applyNumberFormat="1" applyFont="1" applyBorder="1" applyAlignment="1">
      <alignment horizontal="right" vertical="center" wrapText="1"/>
    </xf>
    <xf numFmtId="166" fontId="79" fillId="0" borderId="12" xfId="0" applyNumberFormat="1" applyFont="1" applyBorder="1" applyAlignment="1">
      <alignment horizontal="right" vertical="center" wrapText="1"/>
    </xf>
    <xf numFmtId="0" fontId="79" fillId="0" borderId="11" xfId="0" applyFont="1" applyBorder="1" applyAlignment="1">
      <alignment horizontal="left" vertical="center" wrapText="1"/>
    </xf>
    <xf numFmtId="166" fontId="79" fillId="0" borderId="13" xfId="0" applyNumberFormat="1" applyFont="1" applyBorder="1" applyAlignment="1">
      <alignment horizontal="right" vertical="center" wrapText="1"/>
    </xf>
    <xf numFmtId="166" fontId="79" fillId="0" borderId="14" xfId="0" applyNumberFormat="1" applyFont="1" applyBorder="1" applyAlignment="1">
      <alignment horizontal="right" vertical="center" wrapText="1"/>
    </xf>
    <xf numFmtId="166" fontId="79" fillId="0" borderId="15" xfId="0" applyNumberFormat="1" applyFont="1" applyBorder="1" applyAlignment="1">
      <alignment horizontal="right" vertical="center" wrapText="1"/>
    </xf>
    <xf numFmtId="0" fontId="79" fillId="0" borderId="14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right" vertical="center" wrapText="1"/>
    </xf>
    <xf numFmtId="167" fontId="10" fillId="0" borderId="11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right" vertical="center" wrapText="1"/>
    </xf>
    <xf numFmtId="166" fontId="10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0.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0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8.2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</v>
      </c>
      <c r="B5" s="150"/>
      <c r="C5" s="151" t="str">
        <f>ПРИЛОЖЕНИЕ!C5</f>
        <v>По данным  расчетных ведомостей и карточек-справок</v>
      </c>
      <c r="D5" s="151"/>
      <c r="E5" s="151"/>
      <c r="F5" s="151"/>
      <c r="G5" s="151"/>
      <c r="H5" s="151" t="str">
        <f>ПРИЛОЖЕНИЕ!I5</f>
        <v>По данным проверки контрольного мероприятия</v>
      </c>
      <c r="I5" s="151"/>
      <c r="J5" s="151"/>
      <c r="K5" s="151"/>
      <c r="L5" s="151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12</v>
      </c>
      <c r="B9" s="147"/>
      <c r="C9" s="10" t="str">
        <f>ПРИЛОЖЕНИЕ!C9</f>
        <v>Оклад по штатному расписанию</v>
      </c>
      <c r="D9" s="11">
        <v>2240</v>
      </c>
      <c r="E9" s="11" t="s">
        <v>13</v>
      </c>
      <c r="F9" s="11">
        <v>1262</v>
      </c>
      <c r="G9" s="145">
        <f>C16-E16</f>
        <v>-1550.8300000000017</v>
      </c>
      <c r="H9" s="10" t="str">
        <f>ПРИЛОЖЕНИЕ!I9</f>
        <v>Оклад по штатному расписанию</v>
      </c>
      <c r="I9" s="11">
        <v>2240</v>
      </c>
      <c r="J9" s="13" t="s">
        <v>13</v>
      </c>
      <c r="K9" s="11">
        <v>1262</v>
      </c>
      <c r="L9" s="145">
        <f>H16-J16</f>
        <v>-1550.8300000000017</v>
      </c>
      <c r="M9" s="145">
        <f>H16-C16</f>
        <v>0</v>
      </c>
      <c r="N9" s="145">
        <v>0</v>
      </c>
      <c r="O9" s="145"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67.2</v>
      </c>
      <c r="E10" s="16" t="s">
        <v>14</v>
      </c>
      <c r="F10" s="11">
        <v>10000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67.2</v>
      </c>
      <c r="J10" s="16" t="s">
        <v>14</v>
      </c>
      <c r="K10" s="11">
        <v>10000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672</v>
      </c>
      <c r="E11" s="11"/>
      <c r="F11" s="11"/>
      <c r="G11" s="145"/>
      <c r="H11" s="15" t="str">
        <f>ПРИЛОЖЕНИЕ!I11</f>
        <v>За стаж непрерывной работы, выслуга — 30%</v>
      </c>
      <c r="I11" s="11">
        <f>ROUND(I9*30%,2)</f>
        <v>672</v>
      </c>
      <c r="J11" s="17"/>
      <c r="K11" s="11"/>
      <c r="L11" s="145"/>
      <c r="M11" s="145"/>
      <c r="N11" s="145"/>
      <c r="O11" s="145"/>
      <c r="P11" s="14">
        <f>F10+G9-K10-N9</f>
        <v>-1550.8300000000017</v>
      </c>
    </row>
    <row r="12" spans="1:16" ht="36">
      <c r="A12" s="147"/>
      <c r="B12" s="147"/>
      <c r="C12" s="18" t="s">
        <v>15</v>
      </c>
      <c r="D12" s="11">
        <v>3763.2</v>
      </c>
      <c r="E12" s="11"/>
      <c r="F12" s="11"/>
      <c r="G12" s="145"/>
      <c r="H12" s="18" t="s">
        <v>15</v>
      </c>
      <c r="I12" s="11">
        <v>3763.2</v>
      </c>
      <c r="J12" s="17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4382.5599999999995</v>
      </c>
      <c r="E13" s="11"/>
      <c r="F13" s="11"/>
      <c r="G13" s="145"/>
      <c r="H13" s="18" t="s">
        <v>16</v>
      </c>
      <c r="I13" s="11">
        <f>(I9+I10+I11+I12)*65%</f>
        <v>4382.5599999999995</v>
      </c>
      <c r="J13" s="17"/>
      <c r="K13" s="11"/>
      <c r="L13" s="145"/>
      <c r="M13" s="145"/>
      <c r="N13" s="145"/>
      <c r="O13" s="145"/>
      <c r="P13" s="14"/>
    </row>
    <row r="14" spans="1:16" ht="15">
      <c r="A14" s="147"/>
      <c r="B14" s="147"/>
      <c r="C14" s="18" t="s">
        <v>17</v>
      </c>
      <c r="D14" s="11">
        <v>2213.91</v>
      </c>
      <c r="E14" s="11"/>
      <c r="F14" s="11"/>
      <c r="G14" s="145"/>
      <c r="H14" s="18" t="s">
        <v>17</v>
      </c>
      <c r="I14" s="11">
        <v>2213.91</v>
      </c>
      <c r="J14" s="17"/>
      <c r="K14" s="11"/>
      <c r="L14" s="145"/>
      <c r="M14" s="145"/>
      <c r="N14" s="145"/>
      <c r="O14" s="145"/>
      <c r="P14" s="14"/>
    </row>
    <row r="15" spans="1:16" ht="15">
      <c r="A15" s="147"/>
      <c r="B15" s="147"/>
      <c r="C15" s="18" t="s">
        <v>18</v>
      </c>
      <c r="D15" s="11">
        <v>-3627.7</v>
      </c>
      <c r="E15" s="11"/>
      <c r="F15" s="11"/>
      <c r="G15" s="145"/>
      <c r="H15" s="18" t="s">
        <v>18</v>
      </c>
      <c r="I15" s="11">
        <v>-3627.7</v>
      </c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9711.169999999998</v>
      </c>
      <c r="D16" s="145"/>
      <c r="E16" s="145">
        <f>F9+F10</f>
        <v>11262</v>
      </c>
      <c r="F16" s="145"/>
      <c r="G16" s="145"/>
      <c r="H16" s="145">
        <f>I9+I10+I11+I12+I13+I14+I15</f>
        <v>9711.169999999998</v>
      </c>
      <c r="I16" s="145"/>
      <c r="J16" s="145">
        <f>K9+K10</f>
        <v>11262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20</v>
      </c>
      <c r="B17" s="147"/>
      <c r="C17" s="10" t="s">
        <v>21</v>
      </c>
      <c r="D17" s="11">
        <v>3200</v>
      </c>
      <c r="E17" s="11" t="s">
        <v>13</v>
      </c>
      <c r="F17" s="11">
        <v>1693</v>
      </c>
      <c r="G17" s="145">
        <f>C25-E25</f>
        <v>-2268.7479999999996</v>
      </c>
      <c r="H17" s="10" t="s">
        <v>21</v>
      </c>
      <c r="I17" s="11">
        <v>4000</v>
      </c>
      <c r="J17" s="11" t="s">
        <v>13</v>
      </c>
      <c r="K17" s="17">
        <v>2042</v>
      </c>
      <c r="L17" s="145">
        <f>H25-J25</f>
        <v>68.9800000000032</v>
      </c>
      <c r="M17" s="145">
        <f>H25-C25</f>
        <v>2686.728000000003</v>
      </c>
      <c r="N17" s="145">
        <v>0</v>
      </c>
      <c r="O17" s="145">
        <f>L17-N17</f>
        <v>68.9800000000032</v>
      </c>
      <c r="P17" s="14"/>
    </row>
    <row r="18" spans="1:16" ht="36">
      <c r="A18" s="147"/>
      <c r="B18" s="147"/>
      <c r="C18" s="15" t="s">
        <v>22</v>
      </c>
      <c r="D18" s="11">
        <f>D17*30%</f>
        <v>960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1200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1942.08</v>
      </c>
      <c r="E19" s="11"/>
      <c r="F19" s="11"/>
      <c r="G19" s="145"/>
      <c r="H19" s="18" t="s">
        <v>23</v>
      </c>
      <c r="I19" s="11">
        <v>2424</v>
      </c>
      <c r="J19" s="17"/>
      <c r="K19" s="11"/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425.6</v>
      </c>
      <c r="E20" s="11"/>
      <c r="F20" s="11"/>
      <c r="G20" s="145"/>
      <c r="H20" s="18" t="s">
        <v>24</v>
      </c>
      <c r="I20" s="11">
        <v>532</v>
      </c>
      <c r="J20" s="17"/>
      <c r="K20" s="11"/>
      <c r="L20" s="145"/>
      <c r="M20" s="145"/>
      <c r="N20" s="145"/>
      <c r="O20" s="145"/>
      <c r="P20" s="14">
        <f>F18+G17-K18-N17</f>
        <v>-2268.7479999999996</v>
      </c>
    </row>
    <row r="21" spans="1:16" ht="24">
      <c r="A21" s="147"/>
      <c r="B21" s="147"/>
      <c r="C21" s="18" t="s">
        <v>16</v>
      </c>
      <c r="D21" s="11">
        <f>(D17+D18+D19+D20)*65%</f>
        <v>4242.992</v>
      </c>
      <c r="E21" s="11"/>
      <c r="F21" s="11"/>
      <c r="G21" s="145"/>
      <c r="H21" s="18" t="s">
        <v>16</v>
      </c>
      <c r="I21" s="11">
        <f>(I17+I18+I19+I20)*65%</f>
        <v>5301.400000000001</v>
      </c>
      <c r="J21" s="17"/>
      <c r="K21" s="11"/>
      <c r="L21" s="145"/>
      <c r="M21" s="145"/>
      <c r="N21" s="145"/>
      <c r="O21" s="145"/>
      <c r="P21" s="14"/>
    </row>
    <row r="22" spans="1:16" ht="15">
      <c r="A22" s="147"/>
      <c r="B22" s="147"/>
      <c r="C22" s="18" t="s">
        <v>25</v>
      </c>
      <c r="D22" s="11">
        <v>3653.58</v>
      </c>
      <c r="E22" s="11"/>
      <c r="F22" s="11"/>
      <c r="G22" s="145"/>
      <c r="H22" s="18" t="s">
        <v>17</v>
      </c>
      <c r="I22" s="11">
        <v>3653.58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>
      <c r="A25" s="146" t="s">
        <v>19</v>
      </c>
      <c r="B25" s="146"/>
      <c r="C25" s="145">
        <f>D17+D18+D19+D20+D21+D22+D23+D24</f>
        <v>14424.252</v>
      </c>
      <c r="D25" s="145"/>
      <c r="E25" s="145">
        <f>F17+F18</f>
        <v>16693</v>
      </c>
      <c r="F25" s="145"/>
      <c r="G25" s="145"/>
      <c r="H25" s="145">
        <f>SUM(I17:I24)</f>
        <v>17110.980000000003</v>
      </c>
      <c r="I25" s="145"/>
      <c r="J25" s="145">
        <f>K17+K18</f>
        <v>17042</v>
      </c>
      <c r="K25" s="145"/>
      <c r="L25" s="145"/>
      <c r="M25" s="145"/>
      <c r="N25" s="145"/>
      <c r="O25" s="145"/>
      <c r="P25" s="14"/>
    </row>
    <row r="26" spans="1:16" ht="13.5" customHeight="1">
      <c r="A26" s="147" t="s">
        <v>26</v>
      </c>
      <c r="B26" s="147"/>
      <c r="C26" s="10" t="s">
        <v>21</v>
      </c>
      <c r="D26" s="11">
        <v>10000</v>
      </c>
      <c r="E26" s="11" t="s">
        <v>13</v>
      </c>
      <c r="F26" s="17">
        <v>2602</v>
      </c>
      <c r="G26" s="145">
        <f>C31-E31</f>
        <v>7412.5</v>
      </c>
      <c r="H26" s="10" t="s">
        <v>21</v>
      </c>
      <c r="I26" s="11">
        <v>10000</v>
      </c>
      <c r="J26" s="11" t="s">
        <v>13</v>
      </c>
      <c r="K26" s="11">
        <v>2744</v>
      </c>
      <c r="L26" s="145">
        <f>H31-J31</f>
        <v>8362.800000000003</v>
      </c>
      <c r="M26" s="145">
        <f>H31-C31</f>
        <v>1092.300000000003</v>
      </c>
      <c r="N26" s="145">
        <v>7412.5</v>
      </c>
      <c r="O26" s="145">
        <f>L26-N26</f>
        <v>950.3000000000029</v>
      </c>
      <c r="P26" s="14"/>
    </row>
    <row r="27" spans="1:16" ht="36">
      <c r="A27" s="147"/>
      <c r="B27" s="147"/>
      <c r="C27" s="18" t="s">
        <v>27</v>
      </c>
      <c r="D27" s="11">
        <v>2130</v>
      </c>
      <c r="E27" s="16" t="s">
        <v>14</v>
      </c>
      <c r="F27" s="11">
        <v>10000</v>
      </c>
      <c r="G27" s="145"/>
      <c r="H27" s="18" t="s">
        <v>27</v>
      </c>
      <c r="I27" s="11">
        <v>2792</v>
      </c>
      <c r="J27" s="16" t="s">
        <v>14</v>
      </c>
      <c r="K27" s="11">
        <v>10000</v>
      </c>
      <c r="L27" s="145"/>
      <c r="M27" s="145"/>
      <c r="N27" s="145"/>
      <c r="O27" s="145"/>
      <c r="P27" s="14"/>
    </row>
    <row r="28" spans="1:16" ht="24">
      <c r="A28" s="147"/>
      <c r="B28" s="147"/>
      <c r="C28" s="18" t="s">
        <v>16</v>
      </c>
      <c r="D28" s="11">
        <v>7884.5</v>
      </c>
      <c r="E28" s="11"/>
      <c r="F28" s="11"/>
      <c r="G28" s="145"/>
      <c r="H28" s="18" t="s">
        <v>16</v>
      </c>
      <c r="I28" s="11">
        <f>(I26+I27)*65%</f>
        <v>8314.800000000001</v>
      </c>
      <c r="J28" s="11"/>
      <c r="K28" s="11"/>
      <c r="L28" s="145"/>
      <c r="M28" s="145"/>
      <c r="N28" s="145"/>
      <c r="O28" s="145"/>
      <c r="P28" s="14">
        <f>F27+G26-K27-N26</f>
        <v>0</v>
      </c>
    </row>
    <row r="29" spans="1:16" ht="15" hidden="1">
      <c r="A29" s="147"/>
      <c r="B29" s="147"/>
      <c r="C29" s="10"/>
      <c r="D29" s="11"/>
      <c r="E29" s="11"/>
      <c r="F29" s="11"/>
      <c r="G29" s="145"/>
      <c r="H29" s="18"/>
      <c r="I29" s="11"/>
      <c r="J29" s="17"/>
      <c r="K29" s="11"/>
      <c r="L29" s="145"/>
      <c r="M29" s="145"/>
      <c r="N29" s="145"/>
      <c r="O29" s="145"/>
      <c r="P29" s="14"/>
    </row>
    <row r="30" spans="1:16" ht="12" customHeight="1" hidden="1">
      <c r="A30" s="147"/>
      <c r="B30" s="147"/>
      <c r="C30" s="18"/>
      <c r="D30" s="11"/>
      <c r="E30" s="11"/>
      <c r="F30" s="11"/>
      <c r="G30" s="145"/>
      <c r="H30" s="18"/>
      <c r="I30" s="11"/>
      <c r="J30" s="17"/>
      <c r="K30" s="11"/>
      <c r="L30" s="145"/>
      <c r="M30" s="145"/>
      <c r="N30" s="145"/>
      <c r="O30" s="145"/>
      <c r="P30" s="14"/>
    </row>
    <row r="31" spans="1:16" ht="17.25" customHeight="1">
      <c r="A31" s="146" t="s">
        <v>19</v>
      </c>
      <c r="B31" s="146"/>
      <c r="C31" s="145">
        <f>D26+D27+D29+D28</f>
        <v>20014.5</v>
      </c>
      <c r="D31" s="145"/>
      <c r="E31" s="145">
        <f>F26+F27</f>
        <v>12602</v>
      </c>
      <c r="F31" s="145"/>
      <c r="G31" s="145"/>
      <c r="H31" s="145">
        <f>I26+I27+I28+I29+I30</f>
        <v>21106.800000000003</v>
      </c>
      <c r="I31" s="145"/>
      <c r="J31" s="145">
        <f>K26+K27</f>
        <v>12744</v>
      </c>
      <c r="K31" s="145"/>
      <c r="L31" s="145"/>
      <c r="M31" s="145"/>
      <c r="N31" s="145"/>
      <c r="O31" s="145"/>
      <c r="P31" s="14"/>
    </row>
    <row r="32" spans="1:16" ht="16.5" customHeight="1">
      <c r="A32" s="147" t="s">
        <v>28</v>
      </c>
      <c r="B32" s="147"/>
      <c r="C32" s="10" t="s">
        <v>21</v>
      </c>
      <c r="D32" s="11">
        <v>14545.5</v>
      </c>
      <c r="E32" s="11" t="s">
        <v>13</v>
      </c>
      <c r="F32" s="17">
        <v>3380</v>
      </c>
      <c r="G32" s="145">
        <f>C35-E35</f>
        <v>12620.072999999997</v>
      </c>
      <c r="H32" s="10" t="s">
        <v>21</v>
      </c>
      <c r="I32" s="11">
        <v>14545.5</v>
      </c>
      <c r="J32" s="11" t="s">
        <v>13</v>
      </c>
      <c r="K32" s="11">
        <v>3380</v>
      </c>
      <c r="L32" s="145">
        <f>H35-J35</f>
        <v>12620.072999999997</v>
      </c>
      <c r="M32" s="145">
        <f>H35-C35</f>
        <v>0</v>
      </c>
      <c r="N32" s="145">
        <v>12620.07</v>
      </c>
      <c r="O32" s="145">
        <f>L32-N32</f>
        <v>0.0029999999969732016</v>
      </c>
      <c r="P32" s="14"/>
    </row>
    <row r="33" spans="1:16" ht="29.25" customHeight="1">
      <c r="A33" s="147"/>
      <c r="B33" s="147"/>
      <c r="C33" s="19" t="s">
        <v>29</v>
      </c>
      <c r="D33" s="11">
        <v>1212.12</v>
      </c>
      <c r="E33" s="16" t="s">
        <v>14</v>
      </c>
      <c r="F33" s="11">
        <v>10000</v>
      </c>
      <c r="G33" s="145"/>
      <c r="H33" s="19" t="s">
        <v>29</v>
      </c>
      <c r="I33" s="11">
        <v>1212.12</v>
      </c>
      <c r="J33" s="16" t="s">
        <v>14</v>
      </c>
      <c r="K33" s="11">
        <v>10000</v>
      </c>
      <c r="L33" s="145"/>
      <c r="M33" s="145"/>
      <c r="N33" s="145"/>
      <c r="O33" s="145"/>
      <c r="P33" s="14"/>
    </row>
    <row r="34" spans="1:16" ht="18" customHeight="1">
      <c r="A34" s="147"/>
      <c r="B34" s="147"/>
      <c r="C34" s="18" t="s">
        <v>16</v>
      </c>
      <c r="D34" s="11">
        <f>(D32+D33)*65%</f>
        <v>10242.453</v>
      </c>
      <c r="E34" s="11"/>
      <c r="F34" s="11"/>
      <c r="G34" s="145"/>
      <c r="H34" s="18" t="s">
        <v>16</v>
      </c>
      <c r="I34" s="11">
        <f>(I32+I33)*65%</f>
        <v>10242.453</v>
      </c>
      <c r="J34" s="17"/>
      <c r="K34" s="11"/>
      <c r="L34" s="145"/>
      <c r="M34" s="145"/>
      <c r="N34" s="145"/>
      <c r="O34" s="145"/>
      <c r="P34" s="14"/>
    </row>
    <row r="35" spans="1:16" ht="13.5" customHeight="1">
      <c r="A35" s="146" t="s">
        <v>19</v>
      </c>
      <c r="B35" s="146"/>
      <c r="C35" s="145">
        <f>SUM(D32:D34)</f>
        <v>26000.072999999997</v>
      </c>
      <c r="D35" s="145"/>
      <c r="E35" s="145">
        <f>F32+F33</f>
        <v>13380</v>
      </c>
      <c r="F35" s="145"/>
      <c r="G35" s="145"/>
      <c r="H35" s="145">
        <f>I32+I33+I34</f>
        <v>26000.072999999997</v>
      </c>
      <c r="I35" s="145"/>
      <c r="J35" s="145">
        <f>K32+K33</f>
        <v>13380</v>
      </c>
      <c r="K35" s="145"/>
      <c r="L35" s="145"/>
      <c r="M35" s="145"/>
      <c r="N35" s="145"/>
      <c r="O35" s="145"/>
      <c r="P35" s="14"/>
    </row>
    <row r="36" spans="1:16" ht="20.25" customHeight="1">
      <c r="A36" s="144" t="s">
        <v>30</v>
      </c>
      <c r="B36" s="144"/>
      <c r="C36" s="145">
        <f>C16+C25+C31+C35</f>
        <v>70149.995</v>
      </c>
      <c r="D36" s="145"/>
      <c r="E36" s="145">
        <f>E16+E25+E31+E35</f>
        <v>53937</v>
      </c>
      <c r="F36" s="145"/>
      <c r="G36" s="12">
        <f>SUM(G9:G35)</f>
        <v>16212.994999999995</v>
      </c>
      <c r="H36" s="145">
        <f>H16+H25+H31+H35</f>
        <v>73929.023</v>
      </c>
      <c r="I36" s="145"/>
      <c r="J36" s="145">
        <f>J16+J25+J31+J35</f>
        <v>54428</v>
      </c>
      <c r="K36" s="145"/>
      <c r="L36" s="12">
        <f>L9+L17+L26+L32</f>
        <v>19501.023</v>
      </c>
      <c r="M36" s="12">
        <f>SUM(M9:M35)</f>
        <v>3779.0280000000057</v>
      </c>
      <c r="N36" s="12">
        <f>SUM(N9:N35)</f>
        <v>20032.57</v>
      </c>
      <c r="O36" s="12">
        <f>SUM(O9:O35)</f>
        <v>1019.2830000000031</v>
      </c>
      <c r="P36" s="14"/>
    </row>
    <row r="37" spans="5:13" ht="21" customHeight="1">
      <c r="E37" s="20"/>
      <c r="F37" s="21"/>
      <c r="G37" s="21"/>
      <c r="H37" s="21"/>
      <c r="I37" s="21"/>
      <c r="J37" s="21"/>
      <c r="K37" s="21"/>
      <c r="L37" s="21"/>
      <c r="M37" s="21"/>
    </row>
    <row r="38" spans="1:13" ht="69.75" customHeight="1">
      <c r="A38" s="22"/>
      <c r="B38" s="23" t="s">
        <v>31</v>
      </c>
      <c r="C38" s="23" t="s">
        <v>32</v>
      </c>
      <c r="D38" s="24" t="s">
        <v>33</v>
      </c>
      <c r="E38" s="25" t="s">
        <v>34</v>
      </c>
      <c r="F38" s="21"/>
      <c r="G38" s="21"/>
      <c r="H38" s="21"/>
      <c r="I38" s="21"/>
      <c r="J38" s="21"/>
      <c r="K38" s="21"/>
      <c r="L38" s="21"/>
      <c r="M38" s="21"/>
    </row>
    <row r="39" spans="1:13" ht="16.5" customHeight="1">
      <c r="A39" s="22" t="s">
        <v>35</v>
      </c>
      <c r="B39" s="22">
        <f>C16-F9</f>
        <v>8449.169999999998</v>
      </c>
      <c r="C39" s="22">
        <f>K10+N9</f>
        <v>10000</v>
      </c>
      <c r="D39" s="25">
        <f>H16-K9</f>
        <v>8449.169999999998</v>
      </c>
      <c r="E39" s="26">
        <f>D39-C39</f>
        <v>-1550.8300000000017</v>
      </c>
      <c r="F39" s="21"/>
      <c r="G39" s="21"/>
      <c r="H39" s="21"/>
      <c r="I39" s="21"/>
      <c r="J39" s="21"/>
      <c r="K39" s="21"/>
      <c r="L39" s="21"/>
      <c r="M39" s="21"/>
    </row>
    <row r="40" spans="1:13" ht="15.75" customHeight="1">
      <c r="A40" s="22" t="s">
        <v>36</v>
      </c>
      <c r="B40" s="22">
        <f>C25-F17</f>
        <v>12731.252</v>
      </c>
      <c r="C40" s="22">
        <f>K18+N17</f>
        <v>15000</v>
      </c>
      <c r="D40" s="25">
        <f>H25-K17</f>
        <v>15068.980000000003</v>
      </c>
      <c r="E40" s="26">
        <f>D40-C40</f>
        <v>68.9800000000032</v>
      </c>
      <c r="F40" s="21"/>
      <c r="G40" s="21"/>
      <c r="H40" s="21"/>
      <c r="I40" s="21"/>
      <c r="J40" s="21">
        <f>K10+K18+K27+K33+N26+N32</f>
        <v>65032.57</v>
      </c>
      <c r="K40" s="21"/>
      <c r="L40" s="21"/>
      <c r="M40" s="21"/>
    </row>
    <row r="41" spans="1:13" ht="14.25" customHeight="1">
      <c r="A41" s="22" t="s">
        <v>37</v>
      </c>
      <c r="B41" s="22">
        <f>C31-F26</f>
        <v>17412.5</v>
      </c>
      <c r="C41" s="22">
        <f>K27+N26</f>
        <v>17412.5</v>
      </c>
      <c r="D41" s="25">
        <f>H31-K26</f>
        <v>18362.800000000003</v>
      </c>
      <c r="E41" s="26">
        <f>D41-C41</f>
        <v>950.3000000000029</v>
      </c>
      <c r="F41" s="21"/>
      <c r="G41" s="21"/>
      <c r="H41" s="21"/>
      <c r="I41" s="21"/>
      <c r="J41" s="21"/>
      <c r="K41" s="21"/>
      <c r="L41" s="21"/>
      <c r="M41" s="21"/>
    </row>
    <row r="42" spans="1:13" ht="15.75" customHeight="1">
      <c r="A42" s="22" t="s">
        <v>38</v>
      </c>
      <c r="B42" s="22">
        <f>C35-F32</f>
        <v>22620.072999999997</v>
      </c>
      <c r="C42" s="22">
        <f>K33+N32</f>
        <v>22620.07</v>
      </c>
      <c r="D42" s="25">
        <f>H35-K32</f>
        <v>22620.072999999997</v>
      </c>
      <c r="E42" s="26">
        <f>D42-C42</f>
        <v>0.0029999999969732016</v>
      </c>
      <c r="F42" s="21"/>
      <c r="G42" s="21"/>
      <c r="H42" s="21"/>
      <c r="I42" s="21"/>
      <c r="J42" s="21"/>
      <c r="K42" s="21"/>
      <c r="L42" s="21"/>
      <c r="M42" s="21"/>
    </row>
    <row r="43" spans="1:13" ht="15.75" customHeight="1">
      <c r="A43" s="22" t="s">
        <v>39</v>
      </c>
      <c r="B43" s="22">
        <f>B39+B40+B41+B42</f>
        <v>61212.994999999995</v>
      </c>
      <c r="C43" s="22">
        <f>C39+C40+C41+C42</f>
        <v>65032.57</v>
      </c>
      <c r="D43" s="25">
        <f>SUM(D39:D42)</f>
        <v>64501.023</v>
      </c>
      <c r="E43" s="26">
        <f>D43-C43</f>
        <v>-531.5469999999987</v>
      </c>
      <c r="F43" s="27"/>
      <c r="G43" s="21"/>
      <c r="H43" s="21"/>
      <c r="I43" s="21"/>
      <c r="J43" s="21"/>
      <c r="K43" s="21"/>
      <c r="L43" s="21"/>
      <c r="M43" s="21"/>
    </row>
    <row r="44" spans="1:13" ht="15.75" customHeight="1">
      <c r="A44" s="28"/>
      <c r="B44" s="28"/>
      <c r="C44" s="28"/>
      <c r="D44" s="28"/>
      <c r="E44" s="25"/>
      <c r="F44" s="21"/>
      <c r="G44" s="21"/>
      <c r="H44" s="21"/>
      <c r="I44" s="21"/>
      <c r="J44" s="21"/>
      <c r="K44" s="21"/>
      <c r="L44" s="21"/>
      <c r="M44" s="21"/>
    </row>
    <row r="45" spans="1:13" ht="19.5" customHeight="1">
      <c r="A45" s="141" t="s">
        <v>40</v>
      </c>
      <c r="B45" s="141"/>
      <c r="C45" s="141"/>
      <c r="D45" s="141"/>
      <c r="E45" s="141"/>
      <c r="F45" s="21"/>
      <c r="G45" s="21"/>
      <c r="H45" s="21"/>
      <c r="I45" s="21"/>
      <c r="J45" s="21"/>
      <c r="K45" s="21"/>
      <c r="L45" s="21"/>
      <c r="M45" s="21"/>
    </row>
    <row r="46" spans="1:5" ht="24">
      <c r="A46" s="29" t="s">
        <v>41</v>
      </c>
      <c r="B46" s="23" t="s">
        <v>42</v>
      </c>
      <c r="C46" s="23" t="s">
        <v>43</v>
      </c>
      <c r="D46" s="23" t="s">
        <v>44</v>
      </c>
      <c r="E46" s="23" t="s">
        <v>34</v>
      </c>
    </row>
    <row r="47" spans="1:5" ht="15">
      <c r="A47" s="29">
        <v>111</v>
      </c>
      <c r="B47" s="22" t="s">
        <v>13</v>
      </c>
      <c r="C47" s="22">
        <f>F9+F17+F26+F32</f>
        <v>8937</v>
      </c>
      <c r="D47" s="22">
        <f>K9+K17+K26+K32</f>
        <v>9428</v>
      </c>
      <c r="E47" s="22">
        <f aca="true" t="shared" si="0" ref="E47:E54">D47-C47</f>
        <v>491</v>
      </c>
    </row>
    <row r="48" spans="1:5" ht="15">
      <c r="A48" s="142" t="s">
        <v>39</v>
      </c>
      <c r="B48" s="142"/>
      <c r="C48" s="29">
        <f>SUM(C47:C47)</f>
        <v>8937</v>
      </c>
      <c r="D48" s="29">
        <f>SUM(D47:D47)</f>
        <v>9428</v>
      </c>
      <c r="E48" s="22">
        <f t="shared" si="0"/>
        <v>491</v>
      </c>
    </row>
    <row r="49" spans="1:7" ht="15">
      <c r="A49" s="29">
        <v>119</v>
      </c>
      <c r="B49" s="30">
        <v>0.22</v>
      </c>
      <c r="C49" s="22">
        <v>14142.15</v>
      </c>
      <c r="D49" s="22">
        <f>(H36-I22-I14)*22%</f>
        <v>14973.53726</v>
      </c>
      <c r="E49" s="22">
        <f t="shared" si="0"/>
        <v>831.3872599999995</v>
      </c>
      <c r="F49" s="31"/>
      <c r="G49" s="14"/>
    </row>
    <row r="50" spans="1:7" ht="15">
      <c r="A50" s="29">
        <v>119</v>
      </c>
      <c r="B50" s="30">
        <v>0.029</v>
      </c>
      <c r="C50" s="22">
        <v>1864.19</v>
      </c>
      <c r="D50" s="22">
        <f>(H36-I14-I22)*2.9%</f>
        <v>1973.7844569999997</v>
      </c>
      <c r="E50" s="22">
        <f t="shared" si="0"/>
        <v>109.5944569999997</v>
      </c>
      <c r="F50" s="31"/>
      <c r="G50" s="14"/>
    </row>
    <row r="51" spans="1:7" ht="15">
      <c r="A51" s="29">
        <v>119</v>
      </c>
      <c r="B51" s="30">
        <v>0.051</v>
      </c>
      <c r="C51" s="22">
        <v>3278.41</v>
      </c>
      <c r="D51" s="22">
        <f>(H36-I22-I14)*5.1%</f>
        <v>3471.1381829999996</v>
      </c>
      <c r="E51" s="22">
        <f t="shared" si="0"/>
        <v>192.72818299999972</v>
      </c>
      <c r="F51" s="31"/>
      <c r="G51" s="14"/>
    </row>
    <row r="52" spans="1:7" ht="15">
      <c r="A52" s="29">
        <v>119</v>
      </c>
      <c r="B52" s="30">
        <v>0.002</v>
      </c>
      <c r="C52" s="22">
        <v>128.56</v>
      </c>
      <c r="D52" s="22">
        <f>(H36-I14-I22)*0.2%</f>
        <v>136.123066</v>
      </c>
      <c r="E52" s="22">
        <f t="shared" si="0"/>
        <v>7.563065999999992</v>
      </c>
      <c r="F52" s="31"/>
      <c r="G52" s="14"/>
    </row>
    <row r="53" spans="1:7" ht="15">
      <c r="A53" s="143" t="s">
        <v>39</v>
      </c>
      <c r="B53" s="143"/>
      <c r="C53" s="32">
        <f>SUM(C49:C52)</f>
        <v>19413.31</v>
      </c>
      <c r="D53" s="32">
        <f>SUM(D49:D52)</f>
        <v>20554.582965999998</v>
      </c>
      <c r="E53" s="22">
        <f t="shared" si="0"/>
        <v>1141.2729659999968</v>
      </c>
      <c r="F53" s="33"/>
      <c r="G53" s="33"/>
    </row>
    <row r="54" spans="1:5" ht="15">
      <c r="A54" s="142" t="s">
        <v>45</v>
      </c>
      <c r="B54" s="142"/>
      <c r="C54" s="29">
        <f>C48+C53</f>
        <v>28350.31</v>
      </c>
      <c r="D54" s="29">
        <f>D48+D53</f>
        <v>29982.582965999998</v>
      </c>
      <c r="E54" s="22">
        <f t="shared" si="0"/>
        <v>1632.2729659999968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4"/>
    <mergeCell ref="G17:G25"/>
    <mergeCell ref="L17:L25"/>
    <mergeCell ref="M17:M25"/>
    <mergeCell ref="N17:N25"/>
    <mergeCell ref="N9:N16"/>
    <mergeCell ref="G26:G31"/>
    <mergeCell ref="L26:L31"/>
    <mergeCell ref="M26:M31"/>
    <mergeCell ref="N26:N31"/>
    <mergeCell ref="O17:O25"/>
    <mergeCell ref="A25:B25"/>
    <mergeCell ref="C25:D25"/>
    <mergeCell ref="E25:F25"/>
    <mergeCell ref="H25:I25"/>
    <mergeCell ref="J25:K25"/>
    <mergeCell ref="L32:L35"/>
    <mergeCell ref="M32:M35"/>
    <mergeCell ref="N32:N35"/>
    <mergeCell ref="O26:O31"/>
    <mergeCell ref="A31:B31"/>
    <mergeCell ref="C31:D31"/>
    <mergeCell ref="E31:F31"/>
    <mergeCell ref="H31:I31"/>
    <mergeCell ref="J31:K31"/>
    <mergeCell ref="A26:B30"/>
    <mergeCell ref="H36:I36"/>
    <mergeCell ref="J36:K36"/>
    <mergeCell ref="O32:O35"/>
    <mergeCell ref="A35:B35"/>
    <mergeCell ref="C35:D35"/>
    <mergeCell ref="E35:F35"/>
    <mergeCell ref="H35:I35"/>
    <mergeCell ref="J35:K35"/>
    <mergeCell ref="A32:B34"/>
    <mergeCell ref="G32:G35"/>
    <mergeCell ref="A45:E45"/>
    <mergeCell ref="A48:B48"/>
    <mergeCell ref="A53:B53"/>
    <mergeCell ref="A54:B54"/>
    <mergeCell ref="A36:B36"/>
    <mergeCell ref="C36:D36"/>
    <mergeCell ref="E36:F36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O2" sqref="O2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119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9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120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85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8147.300000000003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8147.300000000003</v>
      </c>
      <c r="M9" s="145">
        <f>H16-C16</f>
        <v>0</v>
      </c>
      <c r="N9" s="145">
        <f>5369.24+2778.06</f>
        <v>8147.299999999999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5000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5000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12712</v>
      </c>
      <c r="F16" s="145"/>
      <c r="G16" s="145"/>
      <c r="H16" s="145">
        <f>I9+I10+I11+I12+I13+I14+I15</f>
        <v>20859.300000000003</v>
      </c>
      <c r="I16" s="145"/>
      <c r="J16" s="145">
        <f>K9+K10+K11+K12</f>
        <v>12712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121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C26-E26</f>
        <v>20321.019999999997</v>
      </c>
      <c r="H17" s="10" t="s">
        <v>21</v>
      </c>
      <c r="I17" s="11">
        <v>12000</v>
      </c>
      <c r="J17" s="11" t="s">
        <v>13</v>
      </c>
      <c r="K17" s="17">
        <v>5067</v>
      </c>
      <c r="L17" s="145">
        <f>H26-J26</f>
        <v>20305.199999999997</v>
      </c>
      <c r="M17" s="145">
        <f>H26-C26</f>
        <v>-17.81999999999971</v>
      </c>
      <c r="N17" s="145">
        <v>20231.02</v>
      </c>
      <c r="O17" s="145">
        <f>L17-N17</f>
        <v>74.17999999999665</v>
      </c>
      <c r="P17" s="14"/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/>
      <c r="F19" s="11"/>
      <c r="G19" s="145"/>
      <c r="H19" s="18" t="s">
        <v>23</v>
      </c>
      <c r="I19" s="11">
        <f>I17*60.6%</f>
        <v>7272</v>
      </c>
      <c r="J19" s="11"/>
      <c r="K19" s="11"/>
      <c r="L19" s="145"/>
      <c r="M19" s="145"/>
      <c r="N19" s="145"/>
      <c r="O19" s="145"/>
      <c r="P19" s="14"/>
    </row>
    <row r="20" spans="1:16" ht="19.5" customHeight="1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89.99999999999636</v>
      </c>
    </row>
    <row r="21" spans="1:16" ht="15" hidden="1">
      <c r="A21" s="147"/>
      <c r="B21" s="147"/>
      <c r="C21" s="18"/>
      <c r="D21" s="11"/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15911.22</v>
      </c>
      <c r="E22" s="11"/>
      <c r="F22" s="11"/>
      <c r="G22" s="145"/>
      <c r="H22" s="18" t="s">
        <v>16</v>
      </c>
      <c r="I22" s="11">
        <f>(I17+I18+I19+I20+I21)*65%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40390.02</v>
      </c>
      <c r="D26" s="145"/>
      <c r="E26" s="145">
        <f>F17+F18+F19</f>
        <v>20069</v>
      </c>
      <c r="F26" s="145"/>
      <c r="G26" s="145"/>
      <c r="H26" s="145">
        <f>SUM(I17:I25)</f>
        <v>40372.2</v>
      </c>
      <c r="I26" s="145"/>
      <c r="J26" s="145">
        <f>K17+K18+K19</f>
        <v>20067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122</v>
      </c>
      <c r="B27" s="147"/>
      <c r="C27" s="10" t="s">
        <v>21</v>
      </c>
      <c r="D27" s="11">
        <v>10000</v>
      </c>
      <c r="E27" s="11" t="s">
        <v>13</v>
      </c>
      <c r="F27" s="17">
        <v>2744</v>
      </c>
      <c r="G27" s="145">
        <f>C33-E33</f>
        <v>8362.8</v>
      </c>
      <c r="H27" s="10" t="s">
        <v>21</v>
      </c>
      <c r="I27" s="11">
        <v>10000</v>
      </c>
      <c r="J27" s="11" t="s">
        <v>13</v>
      </c>
      <c r="K27" s="11">
        <v>2744</v>
      </c>
      <c r="L27" s="145">
        <f>H33-J33</f>
        <v>8362.800000000003</v>
      </c>
      <c r="M27" s="145">
        <f>H33-C33</f>
        <v>0</v>
      </c>
      <c r="N27" s="145">
        <f>8362.8</f>
        <v>8362.8</v>
      </c>
      <c r="O27" s="145">
        <f>L27-N27</f>
        <v>0</v>
      </c>
      <c r="P27" s="14"/>
    </row>
    <row r="28" spans="1:16" ht="36">
      <c r="A28" s="147"/>
      <c r="B28" s="147"/>
      <c r="C28" s="18" t="s">
        <v>27</v>
      </c>
      <c r="D28" s="11">
        <v>2792</v>
      </c>
      <c r="E28" s="16" t="s">
        <v>14</v>
      </c>
      <c r="F28" s="11">
        <v>10000</v>
      </c>
      <c r="G28" s="145"/>
      <c r="H28" s="18" t="s">
        <v>27</v>
      </c>
      <c r="I28" s="11">
        <v>2792</v>
      </c>
      <c r="J28" s="16" t="s">
        <v>14</v>
      </c>
      <c r="K28" s="11">
        <v>10000</v>
      </c>
      <c r="L28" s="145"/>
      <c r="M28" s="145"/>
      <c r="N28" s="145"/>
      <c r="O28" s="145"/>
      <c r="P28" s="14"/>
    </row>
    <row r="29" spans="1:16" ht="15" hidden="1">
      <c r="A29" s="147"/>
      <c r="B29" s="147"/>
      <c r="C29" s="10"/>
      <c r="D29" s="11"/>
      <c r="E29" s="11"/>
      <c r="F29" s="11"/>
      <c r="G29" s="145"/>
      <c r="H29" s="10"/>
      <c r="I29" s="11"/>
      <c r="J29" s="11"/>
      <c r="K29" s="11"/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8314.8</v>
      </c>
      <c r="E30" s="11"/>
      <c r="F30" s="11"/>
      <c r="G30" s="145"/>
      <c r="H30" s="18" t="s">
        <v>16</v>
      </c>
      <c r="I30" s="11">
        <f>(I29+I27+I28)*65%</f>
        <v>8314.800000000001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21106.8</v>
      </c>
      <c r="D33" s="145"/>
      <c r="E33" s="145">
        <f>F27+F28+F29+F30</f>
        <v>12744</v>
      </c>
      <c r="F33" s="145"/>
      <c r="G33" s="145"/>
      <c r="H33" s="145">
        <f>I27+I28+I30+I31+I29</f>
        <v>21106.800000000003</v>
      </c>
      <c r="I33" s="145"/>
      <c r="J33" s="145">
        <f>K27+K28+K29+K30</f>
        <v>12744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89</v>
      </c>
      <c r="B34" s="147"/>
      <c r="C34" s="10" t="s">
        <v>21</v>
      </c>
      <c r="D34" s="11">
        <v>14545.5</v>
      </c>
      <c r="E34" s="11" t="s">
        <v>13</v>
      </c>
      <c r="F34" s="17">
        <v>3380</v>
      </c>
      <c r="G34" s="145">
        <f>C38-E38</f>
        <v>12620.072999999997</v>
      </c>
      <c r="H34" s="10" t="s">
        <v>21</v>
      </c>
      <c r="I34" s="11">
        <v>14545.5</v>
      </c>
      <c r="J34" s="11" t="s">
        <v>13</v>
      </c>
      <c r="K34" s="11">
        <v>3380</v>
      </c>
      <c r="L34" s="145">
        <f>H38-J38</f>
        <v>12620.072999999997</v>
      </c>
      <c r="M34" s="145">
        <f>H38-C38</f>
        <v>0</v>
      </c>
      <c r="N34" s="145">
        <f>12620.07</f>
        <v>12620.07</v>
      </c>
      <c r="O34" s="145">
        <f>L34-N34</f>
        <v>0.0029999999969732016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 hidden="1">
      <c r="A36" s="147"/>
      <c r="B36" s="147"/>
      <c r="C36" s="10"/>
      <c r="D36" s="11"/>
      <c r="E36" s="16"/>
      <c r="F36" s="11"/>
      <c r="G36" s="145"/>
      <c r="H36" s="10"/>
      <c r="I36" s="11"/>
      <c r="J36" s="16"/>
      <c r="K36" s="11"/>
      <c r="L36" s="145"/>
      <c r="M36" s="145"/>
      <c r="N36" s="145"/>
      <c r="O36" s="145"/>
      <c r="P36" s="14"/>
    </row>
    <row r="37" spans="1:16" ht="18" customHeight="1">
      <c r="A37" s="147"/>
      <c r="B37" s="147"/>
      <c r="C37" s="18" t="s">
        <v>16</v>
      </c>
      <c r="D37" s="11">
        <f>(D34+D35+D36)*65%</f>
        <v>10242.453</v>
      </c>
      <c r="E37" s="11"/>
      <c r="F37" s="11"/>
      <c r="G37" s="145"/>
      <c r="H37" s="18" t="s">
        <v>16</v>
      </c>
      <c r="I37" s="11">
        <f>(I34+I35+I36)*65%</f>
        <v>10242.453</v>
      </c>
      <c r="J37" s="17"/>
      <c r="K37" s="11"/>
      <c r="L37" s="145"/>
      <c r="M37" s="145"/>
      <c r="N37" s="145"/>
      <c r="O37" s="145"/>
      <c r="P37" s="14"/>
    </row>
    <row r="38" spans="1:16" ht="13.5" customHeight="1">
      <c r="A38" s="146" t="s">
        <v>19</v>
      </c>
      <c r="B38" s="146"/>
      <c r="C38" s="145">
        <f>D34+D35+D36+D37</f>
        <v>26000.072999999997</v>
      </c>
      <c r="D38" s="145"/>
      <c r="E38" s="145">
        <f>F34+F35</f>
        <v>13380</v>
      </c>
      <c r="F38" s="145"/>
      <c r="G38" s="145"/>
      <c r="H38" s="145">
        <f>I34+I35+I36+I37</f>
        <v>26000.072999999997</v>
      </c>
      <c r="I38" s="145"/>
      <c r="J38" s="145">
        <f>K34+K35</f>
        <v>13380</v>
      </c>
      <c r="K38" s="145"/>
      <c r="L38" s="145"/>
      <c r="M38" s="145"/>
      <c r="N38" s="145"/>
      <c r="O38" s="145"/>
      <c r="P38" s="14"/>
    </row>
    <row r="39" spans="1:16" ht="20.25" customHeight="1">
      <c r="A39" s="144" t="s">
        <v>54</v>
      </c>
      <c r="B39" s="144"/>
      <c r="C39" s="145">
        <f>C16+C26+C33+C38</f>
        <v>108356.193</v>
      </c>
      <c r="D39" s="145"/>
      <c r="E39" s="145">
        <f>E16+E26+E33+E38</f>
        <v>58905</v>
      </c>
      <c r="F39" s="145"/>
      <c r="G39" s="12">
        <f>SUM(G9:G38)</f>
        <v>49451.19299999999</v>
      </c>
      <c r="H39" s="145">
        <f>H16+H26+H33+H38</f>
        <v>108338.37299999999</v>
      </c>
      <c r="I39" s="145"/>
      <c r="J39" s="145">
        <f>J16+J26+J33+J38</f>
        <v>58903</v>
      </c>
      <c r="K39" s="145"/>
      <c r="L39" s="12">
        <f>L9+L17+L27+L34</f>
        <v>49435.373</v>
      </c>
      <c r="M39" s="12">
        <f>SUM(M9:M38)</f>
        <v>-17.81999999999971</v>
      </c>
      <c r="N39" s="12">
        <f>SUM(N9:N38)</f>
        <v>49361.189999999995</v>
      </c>
      <c r="O39" s="12">
        <f>SUM(O9:O38)</f>
        <v>74.18299999999363</v>
      </c>
      <c r="P39" s="14"/>
    </row>
    <row r="40" spans="5:13" ht="21" customHeight="1">
      <c r="E40" s="20"/>
      <c r="F40" s="21"/>
      <c r="G40" s="21"/>
      <c r="H40" s="21"/>
      <c r="I40" s="21"/>
      <c r="J40" s="21"/>
      <c r="K40" s="21"/>
      <c r="L40" s="21"/>
      <c r="M40" s="21"/>
    </row>
    <row r="41" spans="1:13" ht="69.75" customHeight="1">
      <c r="A41" s="22"/>
      <c r="B41" s="23" t="s">
        <v>31</v>
      </c>
      <c r="C41" s="23" t="s">
        <v>32</v>
      </c>
      <c r="D41" s="24" t="s">
        <v>33</v>
      </c>
      <c r="E41" s="25" t="s">
        <v>34</v>
      </c>
      <c r="F41" s="21"/>
      <c r="G41" s="21"/>
      <c r="H41" s="21"/>
      <c r="I41" s="21"/>
      <c r="J41" s="21"/>
      <c r="K41" s="21"/>
      <c r="L41" s="21"/>
      <c r="M41" s="21"/>
    </row>
    <row r="42" spans="1:13" ht="16.5" customHeight="1">
      <c r="A42" s="22" t="s">
        <v>35</v>
      </c>
      <c r="B42" s="22">
        <f>C16-F9</f>
        <v>18147.300000000003</v>
      </c>
      <c r="C42" s="22">
        <f>K10+N9</f>
        <v>13147.3</v>
      </c>
      <c r="D42" s="25">
        <f>H16-K9</f>
        <v>18147.300000000003</v>
      </c>
      <c r="E42" s="26">
        <f>D42-C42</f>
        <v>5000.000000000004</v>
      </c>
      <c r="F42" s="21"/>
      <c r="G42" s="21"/>
      <c r="H42" s="21"/>
      <c r="I42" s="21"/>
      <c r="J42" s="21">
        <f>K10+K18+K28+K35+N39</f>
        <v>89361.19</v>
      </c>
      <c r="K42" s="21"/>
      <c r="L42" s="21"/>
      <c r="M42" s="21"/>
    </row>
    <row r="43" spans="1:13" ht="15.75" customHeight="1">
      <c r="A43" s="22" t="s">
        <v>36</v>
      </c>
      <c r="B43" s="22">
        <f>C26-F17</f>
        <v>35321.02</v>
      </c>
      <c r="C43" s="22">
        <f>K18+N17</f>
        <v>35231.020000000004</v>
      </c>
      <c r="D43" s="25">
        <f>H26-K17</f>
        <v>35305.2</v>
      </c>
      <c r="E43" s="26">
        <f>D43-C43</f>
        <v>74.17999999999302</v>
      </c>
      <c r="F43" s="21"/>
      <c r="G43" s="21"/>
      <c r="H43" s="21"/>
      <c r="I43" s="21"/>
      <c r="J43" s="21"/>
      <c r="K43" s="21"/>
      <c r="L43" s="21"/>
      <c r="M43" s="21"/>
    </row>
    <row r="44" spans="1:13" ht="14.25" customHeight="1">
      <c r="A44" s="22" t="s">
        <v>37</v>
      </c>
      <c r="B44" s="22">
        <f>C33-F27</f>
        <v>18362.8</v>
      </c>
      <c r="C44" s="22">
        <f>K28+N27</f>
        <v>18362.8</v>
      </c>
      <c r="D44" s="25">
        <f>H33-K27</f>
        <v>18362.800000000003</v>
      </c>
      <c r="E44" s="26">
        <f>D44-C44</f>
        <v>0</v>
      </c>
      <c r="F44" s="21"/>
      <c r="G44" s="21"/>
      <c r="H44" s="21"/>
      <c r="I44" s="21"/>
      <c r="J44" s="21"/>
      <c r="K44" s="21"/>
      <c r="L44" s="21"/>
      <c r="M44" s="21"/>
    </row>
    <row r="45" spans="1:13" ht="15.75" customHeight="1">
      <c r="A45" s="22" t="s">
        <v>38</v>
      </c>
      <c r="B45" s="22">
        <f>C38-F34</f>
        <v>22620.072999999997</v>
      </c>
      <c r="C45" s="22">
        <f>K35+N34</f>
        <v>22620.07</v>
      </c>
      <c r="D45" s="25">
        <f>H38-K34</f>
        <v>22620.072999999997</v>
      </c>
      <c r="E45" s="26">
        <f>D45-C45</f>
        <v>0.0029999999969732016</v>
      </c>
      <c r="F45" s="21"/>
      <c r="G45" s="21"/>
      <c r="H45" s="21"/>
      <c r="I45" s="21"/>
      <c r="J45" s="21"/>
      <c r="K45" s="21"/>
      <c r="L45" s="21"/>
      <c r="M45" s="21"/>
    </row>
    <row r="46" spans="1:13" ht="15.75" customHeight="1">
      <c r="A46" s="22" t="s">
        <v>39</v>
      </c>
      <c r="B46" s="22">
        <f>B42+B43+B44+B45</f>
        <v>94451.193</v>
      </c>
      <c r="C46" s="22">
        <f>C42+C43+C44+C45</f>
        <v>89361.19</v>
      </c>
      <c r="D46" s="25">
        <f>SUM(D42:D45)</f>
        <v>94435.37299999999</v>
      </c>
      <c r="E46" s="26">
        <f>D46-C46</f>
        <v>5074.18299999999</v>
      </c>
      <c r="F46" s="27"/>
      <c r="G46" s="21"/>
      <c r="H46" s="21"/>
      <c r="I46" s="21"/>
      <c r="J46" s="21"/>
      <c r="K46" s="21"/>
      <c r="L46" s="21"/>
      <c r="M46" s="21"/>
    </row>
    <row r="47" spans="1:13" ht="15.75" customHeight="1">
      <c r="A47" s="28"/>
      <c r="B47" s="28"/>
      <c r="C47" s="28"/>
      <c r="D47" s="28"/>
      <c r="E47" s="25"/>
      <c r="F47" s="21"/>
      <c r="G47" s="21"/>
      <c r="H47" s="21"/>
      <c r="I47" s="21"/>
      <c r="J47" s="21"/>
      <c r="K47" s="21"/>
      <c r="L47" s="21"/>
      <c r="M47" s="21"/>
    </row>
    <row r="48" spans="1:13" ht="19.5" customHeight="1">
      <c r="A48" s="141" t="s">
        <v>40</v>
      </c>
      <c r="B48" s="141"/>
      <c r="C48" s="141"/>
      <c r="D48" s="141"/>
      <c r="E48" s="141"/>
      <c r="F48" s="21"/>
      <c r="G48" s="21"/>
      <c r="H48" s="21"/>
      <c r="I48" s="21"/>
      <c r="J48" s="21"/>
      <c r="K48" s="21"/>
      <c r="L48" s="21"/>
      <c r="M48" s="21"/>
    </row>
    <row r="49" spans="1:5" ht="24">
      <c r="A49" s="29" t="s">
        <v>41</v>
      </c>
      <c r="B49" s="23" t="s">
        <v>42</v>
      </c>
      <c r="C49" s="23" t="s">
        <v>43</v>
      </c>
      <c r="D49" s="23" t="s">
        <v>44</v>
      </c>
      <c r="E49" s="23" t="s">
        <v>34</v>
      </c>
    </row>
    <row r="50" spans="1:6" ht="15">
      <c r="A50" s="29">
        <v>111</v>
      </c>
      <c r="B50" s="22" t="s">
        <v>13</v>
      </c>
      <c r="C50" s="22">
        <f>F9+F17+F27+F34</f>
        <v>13905</v>
      </c>
      <c r="D50" s="22">
        <f>K9+K17+K27+K34</f>
        <v>13903</v>
      </c>
      <c r="E50" s="22">
        <f aca="true" t="shared" si="0" ref="E50:E57">D50-C50</f>
        <v>-2</v>
      </c>
      <c r="F50" t="s">
        <v>123</v>
      </c>
    </row>
    <row r="51" spans="1:5" ht="15">
      <c r="A51" s="142" t="s">
        <v>39</v>
      </c>
      <c r="B51" s="142"/>
      <c r="C51" s="29">
        <f>SUM(C50:C50)</f>
        <v>13905</v>
      </c>
      <c r="D51" s="29">
        <f>SUM(D50:D50)</f>
        <v>13903</v>
      </c>
      <c r="E51" s="22">
        <f t="shared" si="0"/>
        <v>-2</v>
      </c>
    </row>
    <row r="52" spans="1:7" ht="15">
      <c r="A52" s="29">
        <v>119</v>
      </c>
      <c r="B52" s="30">
        <v>0.22</v>
      </c>
      <c r="C52" s="22">
        <v>23838.37</v>
      </c>
      <c r="D52" s="22">
        <f>(H39-I23-I14)*22%</f>
        <v>23834.442059999998</v>
      </c>
      <c r="E52" s="22">
        <f t="shared" si="0"/>
        <v>-3.9279400000013993</v>
      </c>
      <c r="F52" s="31"/>
      <c r="G52" s="14"/>
    </row>
    <row r="53" spans="1:7" ht="15">
      <c r="A53" s="29">
        <v>119</v>
      </c>
      <c r="B53" s="30">
        <v>0.029</v>
      </c>
      <c r="C53" s="22">
        <v>3142.33</v>
      </c>
      <c r="D53" s="22">
        <f>(H39-I14-I23)*2.9%</f>
        <v>3141.8128169999995</v>
      </c>
      <c r="E53" s="22">
        <f t="shared" si="0"/>
        <v>-0.5171830000003865</v>
      </c>
      <c r="F53" s="31"/>
      <c r="G53" s="14"/>
    </row>
    <row r="54" spans="1:7" ht="15">
      <c r="A54" s="29">
        <v>119</v>
      </c>
      <c r="B54" s="30">
        <v>0.051</v>
      </c>
      <c r="C54" s="22">
        <v>5526.16</v>
      </c>
      <c r="D54" s="22">
        <f>(H39-I23-I14)*5.1%</f>
        <v>5525.257022999999</v>
      </c>
      <c r="E54" s="22">
        <f t="shared" si="0"/>
        <v>-0.9029770000006465</v>
      </c>
      <c r="F54" s="31"/>
      <c r="G54" s="14"/>
    </row>
    <row r="55" spans="1:7" ht="15">
      <c r="A55" s="29">
        <v>119</v>
      </c>
      <c r="B55" s="30">
        <v>0.002</v>
      </c>
      <c r="C55" s="22">
        <v>216.71</v>
      </c>
      <c r="D55" s="22">
        <f>(H39-I14-I23)*0.2%</f>
        <v>216.67674599999998</v>
      </c>
      <c r="E55" s="22">
        <f t="shared" si="0"/>
        <v>-0.03325400000002787</v>
      </c>
      <c r="F55" s="31"/>
      <c r="G55" s="14"/>
    </row>
    <row r="56" spans="1:7" ht="15">
      <c r="A56" s="143" t="s">
        <v>39</v>
      </c>
      <c r="B56" s="143"/>
      <c r="C56" s="32">
        <f>SUM(C52:C55)</f>
        <v>32723.569999999996</v>
      </c>
      <c r="D56" s="32">
        <f>SUM(D52:D55)</f>
        <v>32718.188645999995</v>
      </c>
      <c r="E56" s="22">
        <f t="shared" si="0"/>
        <v>-5.381354000001011</v>
      </c>
      <c r="F56" s="33"/>
      <c r="G56" s="33"/>
    </row>
    <row r="57" spans="1:5" ht="15">
      <c r="A57" s="142" t="s">
        <v>45</v>
      </c>
      <c r="B57" s="142"/>
      <c r="C57" s="29">
        <f>C51+C56</f>
        <v>46628.56999999999</v>
      </c>
      <c r="D57" s="29">
        <f>D51+D56</f>
        <v>46621.188645999995</v>
      </c>
      <c r="E57" s="22">
        <f t="shared" si="0"/>
        <v>-7.381353999997373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5"/>
    <mergeCell ref="G17:G26"/>
    <mergeCell ref="L17:L26"/>
    <mergeCell ref="M17:M26"/>
    <mergeCell ref="N17:N26"/>
    <mergeCell ref="N9:N16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J26:K26"/>
    <mergeCell ref="L34:L38"/>
    <mergeCell ref="M34:M38"/>
    <mergeCell ref="N34:N38"/>
    <mergeCell ref="O27:O33"/>
    <mergeCell ref="A33:B33"/>
    <mergeCell ref="C33:D33"/>
    <mergeCell ref="E33:F33"/>
    <mergeCell ref="H33:I33"/>
    <mergeCell ref="J33:K33"/>
    <mergeCell ref="A27:B32"/>
    <mergeCell ref="H39:I39"/>
    <mergeCell ref="J39:K39"/>
    <mergeCell ref="O34:O38"/>
    <mergeCell ref="A38:B38"/>
    <mergeCell ref="C38:D38"/>
    <mergeCell ref="E38:F38"/>
    <mergeCell ref="H38:I38"/>
    <mergeCell ref="J38:K38"/>
    <mergeCell ref="A34:B37"/>
    <mergeCell ref="G34:G38"/>
    <mergeCell ref="A48:E48"/>
    <mergeCell ref="A51:B51"/>
    <mergeCell ref="A56:B56"/>
    <mergeCell ref="A57:B57"/>
    <mergeCell ref="A39:B39"/>
    <mergeCell ref="C39:D39"/>
    <mergeCell ref="E39:F39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9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124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125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126</v>
      </c>
      <c r="B9" s="147"/>
      <c r="C9" s="10" t="str">
        <f>ПРИЛОЖЕНИЕ!C9</f>
        <v>Оклад по штатному расписанию</v>
      </c>
      <c r="D9" s="11">
        <v>2100</v>
      </c>
      <c r="E9" s="11" t="s">
        <v>13</v>
      </c>
      <c r="F9" s="11">
        <v>4458</v>
      </c>
      <c r="G9" s="145">
        <f>C16-E16</f>
        <v>9073.650000000005</v>
      </c>
      <c r="H9" s="10" t="str">
        <f>ПРИЛОЖЕНИЕ!I9</f>
        <v>Оклад по штатному расписанию</v>
      </c>
      <c r="I9" s="11">
        <v>2100</v>
      </c>
      <c r="J9" s="13" t="s">
        <v>13</v>
      </c>
      <c r="K9" s="11">
        <v>4458</v>
      </c>
      <c r="L9" s="145">
        <f>H16-J16</f>
        <v>9073.650000000005</v>
      </c>
      <c r="M9" s="145">
        <f>H16-C16</f>
        <v>0</v>
      </c>
      <c r="N9" s="145">
        <v>9073.65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63</v>
      </c>
      <c r="E10" s="16" t="s">
        <v>14</v>
      </c>
      <c r="F10" s="11"/>
      <c r="G10" s="145"/>
      <c r="H10" s="15" t="str">
        <f>ПРИЛОЖЕНИЕ!I10</f>
        <v>За наличие квалификационной категории — 3%</v>
      </c>
      <c r="I10" s="11">
        <f>ROUND(I9*3%,2)</f>
        <v>63</v>
      </c>
      <c r="J10" s="16" t="s">
        <v>14</v>
      </c>
      <c r="K10" s="11"/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630</v>
      </c>
      <c r="E11" s="11" t="s">
        <v>99</v>
      </c>
      <c r="F11" s="11">
        <v>20761.56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630</v>
      </c>
      <c r="J11" s="11" t="s">
        <v>99</v>
      </c>
      <c r="K11" s="11">
        <v>20761.56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3528</v>
      </c>
      <c r="E12" s="11"/>
      <c r="F12" s="11"/>
      <c r="G12" s="145"/>
      <c r="H12" s="18" t="s">
        <v>15</v>
      </c>
      <c r="I12" s="11">
        <v>3528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4108.650000000001</v>
      </c>
      <c r="E13" s="11"/>
      <c r="F13" s="11"/>
      <c r="G13" s="145"/>
      <c r="H13" s="18" t="s">
        <v>16</v>
      </c>
      <c r="I13" s="11">
        <f>(I9+I10+I11+I12)*65%</f>
        <v>4108.650000000001</v>
      </c>
      <c r="J13" s="17"/>
      <c r="K13" s="11"/>
      <c r="L13" s="145"/>
      <c r="M13" s="145"/>
      <c r="N13" s="145"/>
      <c r="O13" s="145"/>
      <c r="P13" s="14"/>
    </row>
    <row r="14" spans="1:16" ht="15">
      <c r="A14" s="147"/>
      <c r="B14" s="147"/>
      <c r="C14" s="18" t="s">
        <v>127</v>
      </c>
      <c r="D14" s="11">
        <v>23863.56</v>
      </c>
      <c r="E14" s="11"/>
      <c r="F14" s="11"/>
      <c r="G14" s="145"/>
      <c r="H14" s="18" t="s">
        <v>127</v>
      </c>
      <c r="I14" s="11">
        <v>23863.56</v>
      </c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34293.21000000001</v>
      </c>
      <c r="D16" s="145"/>
      <c r="E16" s="145">
        <f>F9+F10+F11+F12</f>
        <v>25219.56</v>
      </c>
      <c r="F16" s="145"/>
      <c r="G16" s="145"/>
      <c r="H16" s="145">
        <f>I9+I10+I11+I12+I13+I14+I15</f>
        <v>34293.21000000001</v>
      </c>
      <c r="I16" s="145"/>
      <c r="J16" s="145">
        <f>K9+K10+K11+K12</f>
        <v>25219.56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128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C26-E26</f>
        <v>20321.019999999997</v>
      </c>
      <c r="H17" s="10" t="s">
        <v>21</v>
      </c>
      <c r="I17" s="11">
        <v>12000</v>
      </c>
      <c r="J17" s="11" t="s">
        <v>13</v>
      </c>
      <c r="K17" s="17">
        <v>5066</v>
      </c>
      <c r="L17" s="145">
        <f>H26-J26</f>
        <v>20306.199999999997</v>
      </c>
      <c r="M17" s="145">
        <f>H26-C26</f>
        <v>-17.81999999999971</v>
      </c>
      <c r="N17" s="145">
        <v>20231.02</v>
      </c>
      <c r="O17" s="145">
        <f>L17-N17</f>
        <v>75.17999999999665</v>
      </c>
      <c r="P17" s="14"/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/>
      <c r="F19" s="11"/>
      <c r="G19" s="145"/>
      <c r="H19" s="18" t="s">
        <v>23</v>
      </c>
      <c r="I19" s="11">
        <f>I17*60.6%</f>
        <v>7272</v>
      </c>
      <c r="J19" s="11"/>
      <c r="K19" s="11"/>
      <c r="L19" s="145"/>
      <c r="M19" s="145"/>
      <c r="N19" s="145"/>
      <c r="O19" s="145"/>
      <c r="P19" s="14"/>
    </row>
    <row r="20" spans="1:16" ht="20.25" customHeight="1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89.99999999999636</v>
      </c>
    </row>
    <row r="21" spans="1:16" ht="15" hidden="1">
      <c r="A21" s="147"/>
      <c r="B21" s="147"/>
      <c r="C21" s="18"/>
      <c r="D21" s="11"/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15911.22</v>
      </c>
      <c r="E22" s="11"/>
      <c r="F22" s="11"/>
      <c r="G22" s="145"/>
      <c r="H22" s="18" t="s">
        <v>16</v>
      </c>
      <c r="I22" s="11">
        <f>(I17+I18+I19+I20+I21)*65%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40390.02</v>
      </c>
      <c r="D26" s="145"/>
      <c r="E26" s="145">
        <f>F17+F18+F19</f>
        <v>20069</v>
      </c>
      <c r="F26" s="145"/>
      <c r="G26" s="145"/>
      <c r="H26" s="145">
        <f>SUM(I17:I25)</f>
        <v>40372.2</v>
      </c>
      <c r="I26" s="145"/>
      <c r="J26" s="145">
        <f>K17+K18+K19</f>
        <v>20066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129</v>
      </c>
      <c r="B27" s="147"/>
      <c r="C27" s="10" t="s">
        <v>21</v>
      </c>
      <c r="D27" s="11">
        <v>3000</v>
      </c>
      <c r="E27" s="11" t="s">
        <v>13</v>
      </c>
      <c r="F27" s="17">
        <v>1896</v>
      </c>
      <c r="G27" s="145">
        <f>C33-E33</f>
        <v>5509.040000000001</v>
      </c>
      <c r="H27" s="10" t="s">
        <v>21</v>
      </c>
      <c r="I27" s="11">
        <v>3000</v>
      </c>
      <c r="J27" s="11" t="s">
        <v>13</v>
      </c>
      <c r="K27" s="11">
        <v>1896</v>
      </c>
      <c r="L27" s="145">
        <f>H33-J33</f>
        <v>5509.040000000001</v>
      </c>
      <c r="M27" s="145">
        <f>H33-C33</f>
        <v>0</v>
      </c>
      <c r="N27" s="145">
        <v>5509.04</v>
      </c>
      <c r="O27" s="145">
        <f>L27-N27</f>
        <v>0</v>
      </c>
      <c r="P27" s="14"/>
    </row>
    <row r="28" spans="1:16" ht="36">
      <c r="A28" s="147"/>
      <c r="B28" s="147"/>
      <c r="C28" s="18" t="s">
        <v>27</v>
      </c>
      <c r="D28" s="11">
        <v>837.6</v>
      </c>
      <c r="E28" s="16" t="s">
        <v>14</v>
      </c>
      <c r="F28" s="11"/>
      <c r="G28" s="145"/>
      <c r="H28" s="18" t="s">
        <v>27</v>
      </c>
      <c r="I28" s="11">
        <v>837.6</v>
      </c>
      <c r="J28" s="16" t="s">
        <v>14</v>
      </c>
      <c r="K28" s="11"/>
      <c r="L28" s="145"/>
      <c r="M28" s="145"/>
      <c r="N28" s="145"/>
      <c r="O28" s="145"/>
      <c r="P28" s="14"/>
    </row>
    <row r="29" spans="1:16" ht="14.25" customHeight="1">
      <c r="A29" s="147"/>
      <c r="B29" s="147"/>
      <c r="C29" s="10" t="s">
        <v>130</v>
      </c>
      <c r="D29" s="11">
        <v>8250</v>
      </c>
      <c r="E29" s="11" t="s">
        <v>131</v>
      </c>
      <c r="F29" s="11">
        <v>7177</v>
      </c>
      <c r="G29" s="145"/>
      <c r="H29" s="10" t="s">
        <v>130</v>
      </c>
      <c r="I29" s="11">
        <v>5000</v>
      </c>
      <c r="J29" s="11" t="s">
        <v>131</v>
      </c>
      <c r="K29" s="11">
        <v>7177</v>
      </c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2494.44</v>
      </c>
      <c r="E30" s="11"/>
      <c r="F30" s="11"/>
      <c r="G30" s="145"/>
      <c r="H30" s="18" t="s">
        <v>16</v>
      </c>
      <c r="I30" s="11">
        <f>(I29+I27+I28)*65%</f>
        <v>5744.4400000000005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14582.04</v>
      </c>
      <c r="D33" s="145"/>
      <c r="E33" s="145">
        <f>F27+F28+F29+F30</f>
        <v>9073</v>
      </c>
      <c r="F33" s="145"/>
      <c r="G33" s="145"/>
      <c r="H33" s="145">
        <f>I27+I28+I30+I31+I29</f>
        <v>14582.04</v>
      </c>
      <c r="I33" s="145"/>
      <c r="J33" s="145">
        <f>K27+K28+K29+K30</f>
        <v>9073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132</v>
      </c>
      <c r="B34" s="147"/>
      <c r="C34" s="10" t="s">
        <v>21</v>
      </c>
      <c r="D34" s="11">
        <v>14545.5</v>
      </c>
      <c r="E34" s="11" t="s">
        <v>13</v>
      </c>
      <c r="F34" s="17">
        <v>5525</v>
      </c>
      <c r="G34" s="145">
        <f>C38-E38</f>
        <v>12620.07</v>
      </c>
      <c r="H34" s="10" t="s">
        <v>21</v>
      </c>
      <c r="I34" s="11">
        <v>14545.5</v>
      </c>
      <c r="J34" s="11" t="s">
        <v>13</v>
      </c>
      <c r="K34" s="11">
        <v>5525</v>
      </c>
      <c r="L34" s="145">
        <f>H38-J38</f>
        <v>12620.073000000004</v>
      </c>
      <c r="M34" s="145">
        <f>H38-C38</f>
        <v>0.0030000000042491592</v>
      </c>
      <c r="N34" s="145">
        <v>12620.07</v>
      </c>
      <c r="O34" s="145">
        <f>L34-N34</f>
        <v>0.0030000000042491592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>
      <c r="A36" s="147"/>
      <c r="B36" s="147"/>
      <c r="C36" s="10" t="s">
        <v>133</v>
      </c>
      <c r="D36" s="11">
        <v>16500</v>
      </c>
      <c r="E36" s="11" t="s">
        <v>131</v>
      </c>
      <c r="F36" s="11">
        <v>14355</v>
      </c>
      <c r="G36" s="145"/>
      <c r="H36" s="10" t="s">
        <v>133</v>
      </c>
      <c r="I36" s="11">
        <v>10000</v>
      </c>
      <c r="J36" s="11" t="s">
        <v>131</v>
      </c>
      <c r="K36" s="11">
        <v>14355</v>
      </c>
      <c r="L36" s="145"/>
      <c r="M36" s="145"/>
      <c r="N36" s="145"/>
      <c r="O36" s="145"/>
      <c r="P36" s="14"/>
    </row>
    <row r="37" spans="1:16" ht="18" customHeight="1">
      <c r="A37" s="147"/>
      <c r="B37" s="147"/>
      <c r="C37" s="18" t="s">
        <v>16</v>
      </c>
      <c r="D37" s="11">
        <v>10242.45</v>
      </c>
      <c r="E37" s="11"/>
      <c r="F37" s="11"/>
      <c r="G37" s="145"/>
      <c r="H37" s="18" t="s">
        <v>16</v>
      </c>
      <c r="I37" s="11">
        <f>(I34+I35+I36)*65%</f>
        <v>16742.453</v>
      </c>
      <c r="J37" s="17"/>
      <c r="K37" s="11"/>
      <c r="L37" s="145"/>
      <c r="M37" s="145"/>
      <c r="N37" s="145"/>
      <c r="O37" s="145"/>
      <c r="P37" s="14"/>
    </row>
    <row r="38" spans="1:16" ht="13.5" customHeight="1">
      <c r="A38" s="146" t="s">
        <v>19</v>
      </c>
      <c r="B38" s="146"/>
      <c r="C38" s="145">
        <f>D34+D35+D36+D37</f>
        <v>42500.07</v>
      </c>
      <c r="D38" s="145"/>
      <c r="E38" s="145">
        <f>F34+F35+F36</f>
        <v>29880</v>
      </c>
      <c r="F38" s="145"/>
      <c r="G38" s="145"/>
      <c r="H38" s="145">
        <f>I34+I35+I36+I37</f>
        <v>42500.073000000004</v>
      </c>
      <c r="I38" s="145"/>
      <c r="J38" s="145">
        <f>K34+K35+K36</f>
        <v>29880</v>
      </c>
      <c r="K38" s="145"/>
      <c r="L38" s="145"/>
      <c r="M38" s="145"/>
      <c r="N38" s="145"/>
      <c r="O38" s="145"/>
      <c r="P38" s="14"/>
    </row>
    <row r="39" spans="1:16" ht="16.5" customHeight="1">
      <c r="A39" s="154" t="s">
        <v>134</v>
      </c>
      <c r="B39" s="154"/>
      <c r="C39" s="10" t="s">
        <v>21</v>
      </c>
      <c r="D39" s="11">
        <v>7000</v>
      </c>
      <c r="E39" s="11" t="s">
        <v>13</v>
      </c>
      <c r="F39" s="11">
        <v>1921</v>
      </c>
      <c r="G39" s="145">
        <f>C43-E43</f>
        <v>12853.759999999998</v>
      </c>
      <c r="H39" s="10" t="s">
        <v>21</v>
      </c>
      <c r="I39" s="11">
        <v>7000</v>
      </c>
      <c r="J39" s="11" t="s">
        <v>13</v>
      </c>
      <c r="K39" s="11">
        <v>1921</v>
      </c>
      <c r="L39" s="145">
        <f>H43-J43</f>
        <v>12853.759999999998</v>
      </c>
      <c r="M39" s="145">
        <f>H43-C43</f>
        <v>0</v>
      </c>
      <c r="N39" s="145">
        <v>12853.76</v>
      </c>
      <c r="O39" s="145">
        <f>L39-N39</f>
        <v>0</v>
      </c>
      <c r="P39" s="14"/>
    </row>
    <row r="40" spans="1:16" ht="28.5" customHeight="1">
      <c r="A40" s="154"/>
      <c r="B40" s="154"/>
      <c r="C40" s="18" t="s">
        <v>27</v>
      </c>
      <c r="D40" s="11">
        <v>1954.4</v>
      </c>
      <c r="E40" s="16" t="s">
        <v>14</v>
      </c>
      <c r="F40" s="11"/>
      <c r="G40" s="145"/>
      <c r="H40" s="18" t="s">
        <v>27</v>
      </c>
      <c r="I40" s="11">
        <v>1954.4</v>
      </c>
      <c r="J40" s="16" t="s">
        <v>14</v>
      </c>
      <c r="K40" s="11"/>
      <c r="L40" s="145"/>
      <c r="M40" s="145"/>
      <c r="N40" s="145"/>
      <c r="O40" s="145"/>
      <c r="P40" s="14"/>
    </row>
    <row r="41" spans="1:16" ht="19.5" customHeight="1">
      <c r="A41" s="154"/>
      <c r="B41" s="154"/>
      <c r="C41" s="18" t="s">
        <v>16</v>
      </c>
      <c r="D41" s="11">
        <v>5820.36</v>
      </c>
      <c r="E41" s="11"/>
      <c r="F41" s="11"/>
      <c r="G41" s="145"/>
      <c r="H41" s="18" t="s">
        <v>16</v>
      </c>
      <c r="I41" s="11">
        <v>5820.36</v>
      </c>
      <c r="J41" s="12"/>
      <c r="K41" s="11"/>
      <c r="L41" s="145"/>
      <c r="M41" s="145"/>
      <c r="N41" s="145"/>
      <c r="O41" s="145"/>
      <c r="P41" s="14"/>
    </row>
    <row r="42" spans="1:16" ht="13.5" customHeight="1" hidden="1">
      <c r="A42" s="154"/>
      <c r="B42" s="154"/>
      <c r="C42" s="12"/>
      <c r="D42" s="11"/>
      <c r="E42" s="12"/>
      <c r="F42" s="11"/>
      <c r="G42" s="145"/>
      <c r="H42" s="12"/>
      <c r="I42" s="12"/>
      <c r="J42" s="12"/>
      <c r="K42" s="12"/>
      <c r="L42" s="145"/>
      <c r="M42" s="145"/>
      <c r="N42" s="145"/>
      <c r="O42" s="145"/>
      <c r="P42" s="14"/>
    </row>
    <row r="43" spans="1:16" ht="13.5" customHeight="1">
      <c r="A43" s="146" t="s">
        <v>19</v>
      </c>
      <c r="B43" s="146"/>
      <c r="C43" s="145">
        <f>D39+D40+D41+D42</f>
        <v>14774.759999999998</v>
      </c>
      <c r="D43" s="145" t="e">
        <f>E39+E40+E41+E42</f>
        <v>#VALUE!</v>
      </c>
      <c r="E43" s="145">
        <f>F39+F40+F41+F42</f>
        <v>1921</v>
      </c>
      <c r="F43" s="145">
        <f>G39+G40+G41+G42</f>
        <v>12853.759999999998</v>
      </c>
      <c r="G43" s="145"/>
      <c r="H43" s="145">
        <f>I39+I40+I41+I42</f>
        <v>14774.759999999998</v>
      </c>
      <c r="I43" s="145" t="e">
        <f>J39+J40+J41+J42</f>
        <v>#VALUE!</v>
      </c>
      <c r="J43" s="145">
        <f>K39+K40+K41+K42</f>
        <v>1921</v>
      </c>
      <c r="K43" s="145">
        <f>L39+L40+L41+L42</f>
        <v>12853.759999999998</v>
      </c>
      <c r="L43" s="145"/>
      <c r="M43" s="145"/>
      <c r="N43" s="145"/>
      <c r="O43" s="145"/>
      <c r="P43" s="14"/>
    </row>
    <row r="44" spans="1:16" ht="20.25" customHeight="1">
      <c r="A44" s="144" t="s">
        <v>54</v>
      </c>
      <c r="B44" s="144"/>
      <c r="C44" s="145">
        <f>C16+C26+C33+C38+C43</f>
        <v>146540.10000000003</v>
      </c>
      <c r="D44" s="145"/>
      <c r="E44" s="145">
        <f>E16+E26+E33+E38+E43</f>
        <v>86162.56</v>
      </c>
      <c r="F44" s="145"/>
      <c r="G44" s="12">
        <f>SUM(G9:G38)+G39</f>
        <v>60377.54000000001</v>
      </c>
      <c r="H44" s="145">
        <f>H16+H26+H33+H38+H43</f>
        <v>146522.28300000002</v>
      </c>
      <c r="I44" s="145"/>
      <c r="J44" s="145">
        <f>J16+J26+J33+J38+J43</f>
        <v>86159.56</v>
      </c>
      <c r="K44" s="145"/>
      <c r="L44" s="12">
        <f>L9+L17+L27+L34+L39</f>
        <v>60362.723</v>
      </c>
      <c r="M44" s="12">
        <f>SUM(M9:M43)</f>
        <v>-17.81699999999546</v>
      </c>
      <c r="N44" s="12">
        <f>SUM(N9:N43)</f>
        <v>60287.54</v>
      </c>
      <c r="O44" s="12">
        <f>SUM(O9:O38)</f>
        <v>75.1830000000009</v>
      </c>
      <c r="P44" s="14"/>
    </row>
    <row r="45" spans="5:13" ht="21" customHeight="1">
      <c r="E45" s="20"/>
      <c r="F45" s="21"/>
      <c r="G45" s="21"/>
      <c r="H45" s="21"/>
      <c r="I45" s="21"/>
      <c r="J45" s="21"/>
      <c r="K45" s="21"/>
      <c r="L45" s="21"/>
      <c r="M45" s="21"/>
    </row>
    <row r="46" spans="1:13" ht="69.75" customHeight="1">
      <c r="A46" s="22"/>
      <c r="B46" s="23" t="s">
        <v>31</v>
      </c>
      <c r="C46" s="23" t="s">
        <v>32</v>
      </c>
      <c r="D46" s="24" t="s">
        <v>33</v>
      </c>
      <c r="E46" s="25" t="s">
        <v>34</v>
      </c>
      <c r="F46" s="21"/>
      <c r="G46" s="21"/>
      <c r="H46" s="21"/>
      <c r="I46" s="21" t="s">
        <v>135</v>
      </c>
      <c r="J46" s="21"/>
      <c r="K46" s="21"/>
      <c r="L46" s="21"/>
      <c r="M46" s="21"/>
    </row>
    <row r="47" spans="1:13" ht="16.5" customHeight="1">
      <c r="A47" s="22" t="s">
        <v>35</v>
      </c>
      <c r="B47" s="22">
        <f>C16-F9</f>
        <v>29835.210000000006</v>
      </c>
      <c r="C47" s="22">
        <f>K10+N9</f>
        <v>9073.65</v>
      </c>
      <c r="D47" s="25">
        <f>H16-K9</f>
        <v>29835.210000000006</v>
      </c>
      <c r="E47" s="26">
        <f>D47-C47</f>
        <v>20761.560000000005</v>
      </c>
      <c r="F47" s="21"/>
      <c r="G47" s="21"/>
      <c r="H47" s="21"/>
      <c r="I47" s="21"/>
      <c r="J47" s="21">
        <f>K11+K18+K29+K35+K36+N44</f>
        <v>127581.1</v>
      </c>
      <c r="K47" s="21"/>
      <c r="L47" s="21"/>
      <c r="M47" s="21"/>
    </row>
    <row r="48" spans="1:13" ht="15.75" customHeight="1">
      <c r="A48" s="22" t="s">
        <v>36</v>
      </c>
      <c r="B48" s="22">
        <f>C26-F17</f>
        <v>35321.02</v>
      </c>
      <c r="C48" s="22">
        <f>K18+N17</f>
        <v>35231.020000000004</v>
      </c>
      <c r="D48" s="25">
        <f>H26-K17</f>
        <v>35306.2</v>
      </c>
      <c r="E48" s="26">
        <f>D48-C48</f>
        <v>75.17999999999302</v>
      </c>
      <c r="F48" s="21"/>
      <c r="G48" s="21"/>
      <c r="H48" s="21"/>
      <c r="I48" s="21"/>
      <c r="J48" s="21"/>
      <c r="K48" s="21"/>
      <c r="L48" s="21"/>
      <c r="M48" s="21"/>
    </row>
    <row r="49" spans="1:13" ht="14.25" customHeight="1">
      <c r="A49" s="22" t="s">
        <v>37</v>
      </c>
      <c r="B49" s="22">
        <f>C33-F27</f>
        <v>12686.04</v>
      </c>
      <c r="C49" s="22">
        <f>K28+N27</f>
        <v>5509.04</v>
      </c>
      <c r="D49" s="25">
        <f>H33-K27</f>
        <v>12686.04</v>
      </c>
      <c r="E49" s="26">
        <f>D49-C49</f>
        <v>7177.000000000001</v>
      </c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2" t="s">
        <v>38</v>
      </c>
      <c r="B50" s="22">
        <f>C38-F34</f>
        <v>36975.07</v>
      </c>
      <c r="C50" s="22">
        <f>K35+N34</f>
        <v>22620.07</v>
      </c>
      <c r="D50" s="25">
        <f>H38-K34</f>
        <v>36975.073000000004</v>
      </c>
      <c r="E50" s="26">
        <f>D50-C50</f>
        <v>14355.003000000004</v>
      </c>
      <c r="F50" s="21"/>
      <c r="G50" s="21"/>
      <c r="H50" s="21"/>
      <c r="I50" s="21"/>
      <c r="J50" s="21"/>
      <c r="K50" s="21"/>
      <c r="L50" s="21"/>
      <c r="M50" s="21"/>
    </row>
    <row r="51" spans="1:13" ht="15.75" customHeight="1">
      <c r="A51" s="22" t="s">
        <v>39</v>
      </c>
      <c r="B51" s="22">
        <f>B47+B48+B49+B50</f>
        <v>114817.34</v>
      </c>
      <c r="C51" s="22">
        <f>C47+C48+C49+C50</f>
        <v>72433.78</v>
      </c>
      <c r="D51" s="25">
        <f>SUM(D47:D50)</f>
        <v>114802.52300000002</v>
      </c>
      <c r="E51" s="26">
        <f>D51-C51</f>
        <v>42368.74300000002</v>
      </c>
      <c r="F51" s="27"/>
      <c r="G51" s="21"/>
      <c r="H51" s="21"/>
      <c r="I51" s="21"/>
      <c r="J51" s="21"/>
      <c r="K51" s="21"/>
      <c r="L51" s="21"/>
      <c r="M51" s="21"/>
    </row>
    <row r="52" spans="1:13" ht="15.75" customHeight="1">
      <c r="A52" s="28"/>
      <c r="B52" s="28"/>
      <c r="C52" s="28"/>
      <c r="D52" s="28"/>
      <c r="E52" s="25"/>
      <c r="F52" s="21"/>
      <c r="G52" s="21"/>
      <c r="H52" s="21"/>
      <c r="I52" s="21"/>
      <c r="J52" s="21"/>
      <c r="K52" s="21"/>
      <c r="L52" s="21"/>
      <c r="M52" s="21"/>
    </row>
    <row r="53" spans="1:13" ht="19.5" customHeight="1">
      <c r="A53" s="141" t="s">
        <v>40</v>
      </c>
      <c r="B53" s="141"/>
      <c r="C53" s="141"/>
      <c r="D53" s="141"/>
      <c r="E53" s="141"/>
      <c r="F53" s="21"/>
      <c r="G53" s="21"/>
      <c r="H53" s="21"/>
      <c r="I53" s="21"/>
      <c r="J53" s="21"/>
      <c r="K53" s="21"/>
      <c r="L53" s="21"/>
      <c r="M53" s="21"/>
    </row>
    <row r="54" spans="1:5" ht="24">
      <c r="A54" s="29" t="s">
        <v>41</v>
      </c>
      <c r="B54" s="23" t="s">
        <v>42</v>
      </c>
      <c r="C54" s="23" t="s">
        <v>43</v>
      </c>
      <c r="D54" s="23" t="s">
        <v>44</v>
      </c>
      <c r="E54" s="23" t="s">
        <v>34</v>
      </c>
    </row>
    <row r="55" spans="1:6" ht="15">
      <c r="A55" s="29">
        <v>111</v>
      </c>
      <c r="B55" s="22" t="s">
        <v>13</v>
      </c>
      <c r="C55" s="22">
        <f>F9+F17+F27+F34+F39</f>
        <v>18869</v>
      </c>
      <c r="D55" s="22">
        <f>K9+K17+K27+K34+K39</f>
        <v>18866</v>
      </c>
      <c r="E55" s="22">
        <f aca="true" t="shared" si="0" ref="E55:E62">D55-C55</f>
        <v>-3</v>
      </c>
      <c r="F55" t="s">
        <v>136</v>
      </c>
    </row>
    <row r="56" spans="1:5" ht="15">
      <c r="A56" s="142" t="s">
        <v>39</v>
      </c>
      <c r="B56" s="142"/>
      <c r="C56" s="29">
        <f>SUM(C55:C55)</f>
        <v>18869</v>
      </c>
      <c r="D56" s="29">
        <f>SUM(D55:D55)</f>
        <v>18866</v>
      </c>
      <c r="E56" s="22">
        <f t="shared" si="0"/>
        <v>-3</v>
      </c>
    </row>
    <row r="57" spans="1:7" ht="15">
      <c r="A57" s="29">
        <v>119</v>
      </c>
      <c r="B57" s="30">
        <v>0.22</v>
      </c>
      <c r="C57" s="22">
        <f>21073.81+5720.02</f>
        <v>26793.83</v>
      </c>
      <c r="D57" s="22">
        <f>H44*22%</f>
        <v>32234.902260000006</v>
      </c>
      <c r="E57" s="22">
        <f t="shared" si="0"/>
        <v>5441.0722600000045</v>
      </c>
      <c r="F57" s="31"/>
      <c r="G57" s="14"/>
    </row>
    <row r="58" spans="1:7" ht="15">
      <c r="A58" s="29">
        <v>119</v>
      </c>
      <c r="B58" s="30">
        <v>0.029</v>
      </c>
      <c r="C58" s="22">
        <f>2777.91+754</f>
        <v>3531.91</v>
      </c>
      <c r="D58" s="22">
        <f>H44*2.9%</f>
        <v>4249.146207000001</v>
      </c>
      <c r="E58" s="22">
        <f t="shared" si="0"/>
        <v>717.2362070000008</v>
      </c>
      <c r="F58" s="31"/>
      <c r="G58" s="14"/>
    </row>
    <row r="59" spans="1:7" ht="15">
      <c r="A59" s="29">
        <v>119</v>
      </c>
      <c r="B59" s="30">
        <v>0.051</v>
      </c>
      <c r="C59" s="22">
        <f>4885.28+1326</f>
        <v>6211.28</v>
      </c>
      <c r="D59" s="22">
        <f>H44*5.1%</f>
        <v>7472.636433000001</v>
      </c>
      <c r="E59" s="22">
        <f t="shared" si="0"/>
        <v>1261.3564330000008</v>
      </c>
      <c r="F59" s="31"/>
      <c r="G59" s="14"/>
    </row>
    <row r="60" spans="1:7" ht="15">
      <c r="A60" s="29">
        <v>119</v>
      </c>
      <c r="B60" s="30">
        <v>0.002</v>
      </c>
      <c r="C60" s="22">
        <f>191.58+52</f>
        <v>243.58</v>
      </c>
      <c r="D60" s="22">
        <f>H44*0.2%</f>
        <v>293.04456600000003</v>
      </c>
      <c r="E60" s="22">
        <f t="shared" si="0"/>
        <v>49.46456600000002</v>
      </c>
      <c r="F60" s="31"/>
      <c r="G60" s="14"/>
    </row>
    <row r="61" spans="1:7" ht="15">
      <c r="A61" s="143" t="s">
        <v>39</v>
      </c>
      <c r="B61" s="143"/>
      <c r="C61" s="32">
        <f>SUM(C57:C60)</f>
        <v>36780.600000000006</v>
      </c>
      <c r="D61" s="32">
        <f>SUM(D57:D60)</f>
        <v>44249.729466000004</v>
      </c>
      <c r="E61" s="22">
        <f t="shared" si="0"/>
        <v>7469.1294659999985</v>
      </c>
      <c r="F61" s="33"/>
      <c r="G61" s="33"/>
    </row>
    <row r="62" spans="1:5" ht="15">
      <c r="A62" s="142" t="s">
        <v>45</v>
      </c>
      <c r="B62" s="142"/>
      <c r="C62" s="29">
        <f>C56+C61</f>
        <v>55649.600000000006</v>
      </c>
      <c r="D62" s="29">
        <f>D56+D61</f>
        <v>63115.729466000004</v>
      </c>
      <c r="E62" s="22">
        <f t="shared" si="0"/>
        <v>7466.1294659999985</v>
      </c>
    </row>
  </sheetData>
  <sheetProtection/>
  <mergeCells count="79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N9:N16"/>
    <mergeCell ref="O9:O16"/>
    <mergeCell ref="A16:B16"/>
    <mergeCell ref="C16:D16"/>
    <mergeCell ref="E16:F16"/>
    <mergeCell ref="H16:I16"/>
    <mergeCell ref="J16:K16"/>
    <mergeCell ref="J26:K26"/>
    <mergeCell ref="A17:B25"/>
    <mergeCell ref="G17:G26"/>
    <mergeCell ref="L17:L26"/>
    <mergeCell ref="M17:M26"/>
    <mergeCell ref="N17:N26"/>
    <mergeCell ref="A27:B32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G34:G38"/>
    <mergeCell ref="L34:L38"/>
    <mergeCell ref="M34:M38"/>
    <mergeCell ref="N34:N38"/>
    <mergeCell ref="O27:O33"/>
    <mergeCell ref="A33:B33"/>
    <mergeCell ref="C33:D33"/>
    <mergeCell ref="E33:F33"/>
    <mergeCell ref="H33:I33"/>
    <mergeCell ref="J33:K33"/>
    <mergeCell ref="L39:L43"/>
    <mergeCell ref="M39:M43"/>
    <mergeCell ref="N39:N43"/>
    <mergeCell ref="O34:O38"/>
    <mergeCell ref="A38:B38"/>
    <mergeCell ref="C38:D38"/>
    <mergeCell ref="E38:F38"/>
    <mergeCell ref="H38:I38"/>
    <mergeCell ref="J38:K38"/>
    <mergeCell ref="A34:B37"/>
    <mergeCell ref="H44:I44"/>
    <mergeCell ref="J44:K44"/>
    <mergeCell ref="O39:O43"/>
    <mergeCell ref="A43:B43"/>
    <mergeCell ref="C43:D43"/>
    <mergeCell ref="E43:F43"/>
    <mergeCell ref="H43:I43"/>
    <mergeCell ref="J43:K43"/>
    <mergeCell ref="A39:B42"/>
    <mergeCell ref="G39:G43"/>
    <mergeCell ref="A53:E53"/>
    <mergeCell ref="A56:B56"/>
    <mergeCell ref="A61:B61"/>
    <mergeCell ref="A62:B62"/>
    <mergeCell ref="A44:B44"/>
    <mergeCell ref="C44:D44"/>
    <mergeCell ref="E44:F44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6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137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138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9.75" customHeight="1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139</v>
      </c>
      <c r="B9" s="147"/>
      <c r="C9" s="10" t="str">
        <f>ПРИЛОЖЕНИЕ!C9</f>
        <v>Оклад по штатному расписанию</v>
      </c>
      <c r="D9" s="11">
        <v>954.55</v>
      </c>
      <c r="E9" s="11" t="s">
        <v>13</v>
      </c>
      <c r="F9" s="11">
        <v>924</v>
      </c>
      <c r="G9" s="145">
        <f>C16-E16</f>
        <v>6183.083500000001</v>
      </c>
      <c r="H9" s="10" t="str">
        <f>ПРИЛОЖЕНИЕ!I9</f>
        <v>Оклад по штатному расписанию</v>
      </c>
      <c r="I9" s="11">
        <v>954.55</v>
      </c>
      <c r="J9" s="13" t="s">
        <v>13</v>
      </c>
      <c r="K9" s="11">
        <v>924</v>
      </c>
      <c r="L9" s="145">
        <f>H16-J16</f>
        <v>6183.083500000001</v>
      </c>
      <c r="M9" s="145">
        <f>H16-C16</f>
        <v>0</v>
      </c>
      <c r="N9" s="145">
        <v>6183.08</v>
      </c>
      <c r="O9" s="145">
        <f>L9-N9</f>
        <v>0.003500000000713044</v>
      </c>
      <c r="P9" s="14"/>
    </row>
    <row r="10" spans="1:16" ht="27.75" customHeight="1">
      <c r="A10" s="147"/>
      <c r="B10" s="147"/>
      <c r="C10" s="15" t="str">
        <f>ПРИЛОЖЕНИЕ!C10</f>
        <v>За наличие квалификационной категории - 3%</v>
      </c>
      <c r="D10" s="11">
        <v>28.64</v>
      </c>
      <c r="E10" s="16" t="s">
        <v>14</v>
      </c>
      <c r="F10" s="11"/>
      <c r="G10" s="145"/>
      <c r="H10" s="15" t="str">
        <f>ПРИЛОЖЕНИЕ!I10</f>
        <v>За наличие квалификационной категории — 3%</v>
      </c>
      <c r="I10" s="11">
        <f>ROUND(I9*3%,2)</f>
        <v>28.64</v>
      </c>
      <c r="J10" s="16" t="s">
        <v>14</v>
      </c>
      <c r="K10" s="11"/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286.36</v>
      </c>
      <c r="E11" s="11"/>
      <c r="F11" s="11"/>
      <c r="G11" s="145"/>
      <c r="H11" s="15" t="str">
        <f>ПРИЛОЖЕНИЕ!I11</f>
        <v>За стаж непрерывной работы, выслуга — 30%</v>
      </c>
      <c r="I11" s="11">
        <v>286.36</v>
      </c>
      <c r="J11" s="11"/>
      <c r="K11" s="11"/>
      <c r="L11" s="145"/>
      <c r="M11" s="145"/>
      <c r="N11" s="145"/>
      <c r="O11" s="145"/>
      <c r="P11" s="14">
        <f>F10+G9-K10-N9</f>
        <v>0.003500000000713044</v>
      </c>
    </row>
    <row r="12" spans="1:16" ht="36">
      <c r="A12" s="147"/>
      <c r="B12" s="147"/>
      <c r="C12" s="18" t="s">
        <v>15</v>
      </c>
      <c r="D12" s="11">
        <v>1603.64</v>
      </c>
      <c r="E12" s="11"/>
      <c r="F12" s="11"/>
      <c r="G12" s="145"/>
      <c r="H12" s="18" t="s">
        <v>15</v>
      </c>
      <c r="I12" s="11">
        <v>1603.64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1867.5735000000002</v>
      </c>
      <c r="E13" s="11"/>
      <c r="F13" s="11"/>
      <c r="G13" s="145"/>
      <c r="H13" s="18" t="s">
        <v>16</v>
      </c>
      <c r="I13" s="11">
        <f>(I9+I10+I11+I12)*65%</f>
        <v>1867.5735000000002</v>
      </c>
      <c r="J13" s="17"/>
      <c r="K13" s="11"/>
      <c r="L13" s="145"/>
      <c r="M13" s="145"/>
      <c r="N13" s="145"/>
      <c r="O13" s="145"/>
      <c r="P13" s="14"/>
    </row>
    <row r="14" spans="1:16" ht="15">
      <c r="A14" s="147"/>
      <c r="B14" s="147"/>
      <c r="C14" s="18" t="s">
        <v>25</v>
      </c>
      <c r="D14" s="11">
        <v>2366.32</v>
      </c>
      <c r="E14" s="11"/>
      <c r="F14" s="11"/>
      <c r="G14" s="145"/>
      <c r="H14" s="18" t="s">
        <v>25</v>
      </c>
      <c r="I14" s="11">
        <v>2366.32</v>
      </c>
      <c r="J14" s="17"/>
      <c r="K14" s="11"/>
      <c r="L14" s="145"/>
      <c r="M14" s="145"/>
      <c r="N14" s="145"/>
      <c r="O14" s="145"/>
      <c r="P14" s="14"/>
    </row>
    <row r="15" spans="1:16" ht="7.5" customHeight="1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7107.083500000001</v>
      </c>
      <c r="D16" s="145"/>
      <c r="E16" s="145">
        <f>F9+F10+F11+F12</f>
        <v>924</v>
      </c>
      <c r="F16" s="145"/>
      <c r="G16" s="145"/>
      <c r="H16" s="145">
        <f>I9+I10+I11+I12+I13+I14+I15</f>
        <v>7107.083500000001</v>
      </c>
      <c r="I16" s="145"/>
      <c r="J16" s="145">
        <f>K9+K10+K11+K12</f>
        <v>924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77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C26-E26</f>
        <v>35321.02</v>
      </c>
      <c r="H17" s="10" t="s">
        <v>21</v>
      </c>
      <c r="I17" s="11">
        <v>12000</v>
      </c>
      <c r="J17" s="11" t="s">
        <v>13</v>
      </c>
      <c r="K17" s="17">
        <v>5066</v>
      </c>
      <c r="L17" s="145">
        <f>H26-J26</f>
        <v>35306.2</v>
      </c>
      <c r="M17" s="145">
        <f>H26-C26</f>
        <v>-17.81999999999971</v>
      </c>
      <c r="N17" s="145">
        <v>35303.2</v>
      </c>
      <c r="O17" s="145">
        <f>L17-N17</f>
        <v>3</v>
      </c>
      <c r="P17" s="14"/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/>
      <c r="G18" s="145"/>
      <c r="H18" s="15" t="s">
        <v>22</v>
      </c>
      <c r="I18" s="11">
        <f>I17*30%</f>
        <v>3600</v>
      </c>
      <c r="J18" s="16" t="s">
        <v>14</v>
      </c>
      <c r="K18" s="11"/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/>
      <c r="F19" s="11"/>
      <c r="G19" s="145"/>
      <c r="H19" s="18" t="s">
        <v>23</v>
      </c>
      <c r="I19" s="11">
        <f>I17*60.6%</f>
        <v>7272</v>
      </c>
      <c r="J19" s="11"/>
      <c r="K19" s="11"/>
      <c r="L19" s="145"/>
      <c r="M19" s="145"/>
      <c r="N19" s="145"/>
      <c r="O19" s="145"/>
      <c r="P19" s="14"/>
    </row>
    <row r="20" spans="1:16" ht="20.25" customHeight="1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17.81999999999971</v>
      </c>
    </row>
    <row r="21" spans="1:16" ht="7.5" customHeight="1" hidden="1">
      <c r="A21" s="147"/>
      <c r="B21" s="147"/>
      <c r="C21" s="18"/>
      <c r="D21" s="11"/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15911.22</v>
      </c>
      <c r="E22" s="11"/>
      <c r="F22" s="11"/>
      <c r="G22" s="145"/>
      <c r="H22" s="18" t="s">
        <v>16</v>
      </c>
      <c r="I22" s="11">
        <f>(I17+I18+I19+I20+I21)*65%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40390.02</v>
      </c>
      <c r="D26" s="145"/>
      <c r="E26" s="145">
        <f>F17+F18+F19</f>
        <v>5069</v>
      </c>
      <c r="F26" s="145"/>
      <c r="G26" s="145"/>
      <c r="H26" s="145">
        <f>SUM(I17:I25)</f>
        <v>40372.2</v>
      </c>
      <c r="I26" s="145"/>
      <c r="J26" s="145">
        <f>K17+K18+K19</f>
        <v>5066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140</v>
      </c>
      <c r="B27" s="147"/>
      <c r="C27" s="10" t="s">
        <v>21</v>
      </c>
      <c r="D27" s="11">
        <v>9090.91</v>
      </c>
      <c r="E27" s="11" t="s">
        <v>13</v>
      </c>
      <c r="F27" s="17">
        <v>2494</v>
      </c>
      <c r="G27" s="145">
        <f>C33-E33</f>
        <v>16694</v>
      </c>
      <c r="H27" s="10" t="s">
        <v>21</v>
      </c>
      <c r="I27" s="11">
        <v>9090.91</v>
      </c>
      <c r="J27" s="11" t="s">
        <v>13</v>
      </c>
      <c r="K27" s="11">
        <v>2494</v>
      </c>
      <c r="L27" s="145">
        <f>H33-J33</f>
        <v>16693.9985</v>
      </c>
      <c r="M27" s="145">
        <f>H33-C33</f>
        <v>-0.0014999999984866008</v>
      </c>
      <c r="N27" s="145">
        <v>16694</v>
      </c>
      <c r="O27" s="145">
        <f>L27-N27</f>
        <v>-0.0014999999984866008</v>
      </c>
      <c r="P27" s="14"/>
    </row>
    <row r="28" spans="1:16" ht="36">
      <c r="A28" s="147"/>
      <c r="B28" s="147"/>
      <c r="C28" s="18" t="s">
        <v>27</v>
      </c>
      <c r="D28" s="11">
        <v>2538.18</v>
      </c>
      <c r="E28" s="16" t="s">
        <v>14</v>
      </c>
      <c r="F28" s="11"/>
      <c r="G28" s="145"/>
      <c r="H28" s="18" t="s">
        <v>27</v>
      </c>
      <c r="I28" s="11">
        <v>2538.18</v>
      </c>
      <c r="J28" s="16" t="s">
        <v>14</v>
      </c>
      <c r="K28" s="11"/>
      <c r="L28" s="145"/>
      <c r="M28" s="145"/>
      <c r="N28" s="145"/>
      <c r="O28" s="145"/>
      <c r="P28" s="14"/>
    </row>
    <row r="29" spans="1:16" ht="14.25" customHeight="1" hidden="1">
      <c r="A29" s="147"/>
      <c r="B29" s="147"/>
      <c r="C29" s="10"/>
      <c r="D29" s="11"/>
      <c r="E29" s="11"/>
      <c r="F29" s="11"/>
      <c r="G29" s="145"/>
      <c r="H29" s="10"/>
      <c r="I29" s="11"/>
      <c r="J29" s="11"/>
      <c r="K29" s="11"/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7558.91</v>
      </c>
      <c r="E30" s="11"/>
      <c r="F30" s="11"/>
      <c r="G30" s="145"/>
      <c r="H30" s="18" t="s">
        <v>16</v>
      </c>
      <c r="I30" s="11">
        <f>(I29+I27+I28)*65%</f>
        <v>7558.9085000000005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19188</v>
      </c>
      <c r="D33" s="145"/>
      <c r="E33" s="145">
        <f>F27+F28+F29+F30</f>
        <v>2494</v>
      </c>
      <c r="F33" s="145"/>
      <c r="G33" s="145"/>
      <c r="H33" s="145">
        <f>I27+I28+I30+I31+I29</f>
        <v>19187.9985</v>
      </c>
      <c r="I33" s="145"/>
      <c r="J33" s="145">
        <f>K27+K28+K29+K30</f>
        <v>2494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71</v>
      </c>
      <c r="B34" s="147"/>
      <c r="C34" s="10" t="s">
        <v>21</v>
      </c>
      <c r="D34" s="11">
        <v>14545.5</v>
      </c>
      <c r="E34" s="11" t="s">
        <v>13</v>
      </c>
      <c r="F34" s="17">
        <v>3380</v>
      </c>
      <c r="G34" s="145">
        <f>C39-E39</f>
        <v>22620.07</v>
      </c>
      <c r="H34" s="10" t="s">
        <v>21</v>
      </c>
      <c r="I34" s="11">
        <v>14545.5</v>
      </c>
      <c r="J34" s="11" t="s">
        <v>13</v>
      </c>
      <c r="K34" s="17">
        <f>3672-0.97</f>
        <v>3671.03</v>
      </c>
      <c r="L34" s="145">
        <f>H39-J39</f>
        <v>24571.475499999997</v>
      </c>
      <c r="M34" s="145">
        <f>H39-C39</f>
        <v>2242.435499999996</v>
      </c>
      <c r="N34" s="145">
        <v>22620.07</v>
      </c>
      <c r="O34" s="145">
        <f>L34-N34</f>
        <v>1951.4054999999971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/>
      <c r="G35" s="145"/>
      <c r="H35" s="19" t="s">
        <v>29</v>
      </c>
      <c r="I35" s="11">
        <v>1212.12</v>
      </c>
      <c r="J35" s="16" t="s">
        <v>14</v>
      </c>
      <c r="K35" s="11"/>
      <c r="L35" s="145"/>
      <c r="M35" s="145"/>
      <c r="N35" s="145"/>
      <c r="O35" s="145"/>
      <c r="P35" s="14"/>
    </row>
    <row r="36" spans="1:16" ht="15" customHeight="1">
      <c r="A36" s="147"/>
      <c r="B36" s="147"/>
      <c r="C36" s="10" t="s">
        <v>141</v>
      </c>
      <c r="D36" s="11"/>
      <c r="E36" s="11"/>
      <c r="F36" s="11"/>
      <c r="G36" s="145"/>
      <c r="H36" s="10" t="s">
        <v>141</v>
      </c>
      <c r="I36" s="11">
        <v>1322.32</v>
      </c>
      <c r="J36" s="16"/>
      <c r="K36" s="11"/>
      <c r="L36" s="145"/>
      <c r="M36" s="145"/>
      <c r="N36" s="145"/>
      <c r="O36" s="145"/>
      <c r="P36" s="14"/>
    </row>
    <row r="37" spans="1:16" ht="15" customHeight="1">
      <c r="A37" s="147"/>
      <c r="B37" s="147"/>
      <c r="C37" s="10" t="s">
        <v>142</v>
      </c>
      <c r="D37" s="11"/>
      <c r="E37" s="11"/>
      <c r="F37" s="11"/>
      <c r="G37" s="145"/>
      <c r="H37" s="10" t="s">
        <v>142</v>
      </c>
      <c r="I37" s="11">
        <v>36.73</v>
      </c>
      <c r="J37" s="16"/>
      <c r="K37" s="11"/>
      <c r="L37" s="145"/>
      <c r="M37" s="145"/>
      <c r="N37" s="145"/>
      <c r="O37" s="145"/>
      <c r="P37" s="14"/>
    </row>
    <row r="38" spans="1:16" ht="18" customHeight="1">
      <c r="A38" s="147"/>
      <c r="B38" s="147"/>
      <c r="C38" s="18" t="s">
        <v>16</v>
      </c>
      <c r="D38" s="11">
        <v>10242.45</v>
      </c>
      <c r="E38" s="11"/>
      <c r="F38" s="11"/>
      <c r="G38" s="145"/>
      <c r="H38" s="18" t="s">
        <v>16</v>
      </c>
      <c r="I38" s="11">
        <f>(I34+I35+I36+I37)*65%</f>
        <v>11125.8355</v>
      </c>
      <c r="J38" s="17"/>
      <c r="K38" s="11"/>
      <c r="L38" s="145"/>
      <c r="M38" s="145"/>
      <c r="N38" s="145"/>
      <c r="O38" s="145"/>
      <c r="P38" s="14"/>
    </row>
    <row r="39" spans="1:16" ht="13.5" customHeight="1">
      <c r="A39" s="146" t="s">
        <v>19</v>
      </c>
      <c r="B39" s="146"/>
      <c r="C39" s="145">
        <f>D34+D35+D36+D38</f>
        <v>26000.07</v>
      </c>
      <c r="D39" s="145"/>
      <c r="E39" s="145">
        <f>F34+F35+F36</f>
        <v>3380</v>
      </c>
      <c r="F39" s="145"/>
      <c r="G39" s="145"/>
      <c r="H39" s="145">
        <f>I34+I35+I36+I38+I37</f>
        <v>28242.505499999996</v>
      </c>
      <c r="I39" s="145"/>
      <c r="J39" s="145">
        <f>K34+K35</f>
        <v>3671.03</v>
      </c>
      <c r="K39" s="145"/>
      <c r="L39" s="145"/>
      <c r="M39" s="145"/>
      <c r="N39" s="145"/>
      <c r="O39" s="145"/>
      <c r="P39" s="14"/>
    </row>
    <row r="40" spans="1:16" ht="16.5" customHeight="1">
      <c r="A40" s="154" t="s">
        <v>143</v>
      </c>
      <c r="B40" s="154"/>
      <c r="C40" s="10" t="s">
        <v>21</v>
      </c>
      <c r="D40" s="11">
        <v>909.09</v>
      </c>
      <c r="E40" s="11" t="s">
        <v>13</v>
      </c>
      <c r="F40" s="11">
        <v>249</v>
      </c>
      <c r="G40" s="145">
        <f>C44-E44</f>
        <v>1669.8000000000002</v>
      </c>
      <c r="H40" s="10" t="s">
        <v>21</v>
      </c>
      <c r="I40" s="11">
        <v>909.09</v>
      </c>
      <c r="J40" s="11" t="s">
        <v>13</v>
      </c>
      <c r="K40" s="11">
        <v>249</v>
      </c>
      <c r="L40" s="145">
        <f>H44-J44</f>
        <v>1669.8000000000002</v>
      </c>
      <c r="M40" s="145">
        <f>H44-C44</f>
        <v>0</v>
      </c>
      <c r="N40" s="145">
        <v>1669.8</v>
      </c>
      <c r="O40" s="145">
        <f>L40-N40</f>
        <v>0</v>
      </c>
      <c r="P40" s="14"/>
    </row>
    <row r="41" spans="1:16" ht="28.5" customHeight="1">
      <c r="A41" s="154"/>
      <c r="B41" s="154"/>
      <c r="C41" s="18" t="s">
        <v>27</v>
      </c>
      <c r="D41" s="11">
        <v>253.82</v>
      </c>
      <c r="E41" s="16" t="s">
        <v>14</v>
      </c>
      <c r="F41" s="11"/>
      <c r="G41" s="145"/>
      <c r="H41" s="18" t="s">
        <v>27</v>
      </c>
      <c r="I41" s="11">
        <v>253.82</v>
      </c>
      <c r="J41" s="16" t="s">
        <v>14</v>
      </c>
      <c r="K41" s="11"/>
      <c r="L41" s="145"/>
      <c r="M41" s="145"/>
      <c r="N41" s="145"/>
      <c r="O41" s="145"/>
      <c r="P41" s="14"/>
    </row>
    <row r="42" spans="1:16" ht="19.5" customHeight="1">
      <c r="A42" s="154"/>
      <c r="B42" s="154"/>
      <c r="C42" s="18" t="s">
        <v>16</v>
      </c>
      <c r="D42" s="11">
        <v>755.89</v>
      </c>
      <c r="E42" s="11"/>
      <c r="F42" s="11"/>
      <c r="G42" s="145"/>
      <c r="H42" s="18" t="s">
        <v>16</v>
      </c>
      <c r="I42" s="11">
        <v>755.89</v>
      </c>
      <c r="J42" s="12"/>
      <c r="K42" s="11"/>
      <c r="L42" s="145"/>
      <c r="M42" s="145"/>
      <c r="N42" s="145"/>
      <c r="O42" s="145"/>
      <c r="P42" s="14"/>
    </row>
    <row r="43" spans="1:16" ht="7.5" customHeight="1" hidden="1">
      <c r="A43" s="154"/>
      <c r="B43" s="154"/>
      <c r="C43" s="12"/>
      <c r="D43" s="11"/>
      <c r="E43" s="12"/>
      <c r="F43" s="11"/>
      <c r="G43" s="145"/>
      <c r="H43" s="12"/>
      <c r="I43" s="12"/>
      <c r="J43" s="12"/>
      <c r="K43" s="12"/>
      <c r="L43" s="145"/>
      <c r="M43" s="145"/>
      <c r="N43" s="145"/>
      <c r="O43" s="145"/>
      <c r="P43" s="14"/>
    </row>
    <row r="44" spans="1:16" ht="13.5" customHeight="1">
      <c r="A44" s="146" t="s">
        <v>19</v>
      </c>
      <c r="B44" s="146"/>
      <c r="C44" s="145">
        <f>D40+D41+D42+D43</f>
        <v>1918.8000000000002</v>
      </c>
      <c r="D44" s="145" t="e">
        <f>E40+E41+E42+E43</f>
        <v>#VALUE!</v>
      </c>
      <c r="E44" s="145">
        <f>F40+F41+F42+F43</f>
        <v>249</v>
      </c>
      <c r="F44" s="145">
        <f>G40+G41+G42+G43</f>
        <v>1669.8000000000002</v>
      </c>
      <c r="G44" s="145"/>
      <c r="H44" s="145">
        <f>I40+I41+I42+I43</f>
        <v>1918.8000000000002</v>
      </c>
      <c r="I44" s="145" t="e">
        <f>J40+J41+J42+J43</f>
        <v>#VALUE!</v>
      </c>
      <c r="J44" s="145">
        <f>K40+K41+K42+K43</f>
        <v>249</v>
      </c>
      <c r="K44" s="145">
        <f>L40+L41+L42+L43</f>
        <v>1669.8000000000002</v>
      </c>
      <c r="L44" s="145"/>
      <c r="M44" s="145"/>
      <c r="N44" s="145"/>
      <c r="O44" s="145"/>
      <c r="P44" s="14"/>
    </row>
    <row r="45" spans="1:16" ht="13.5" customHeight="1">
      <c r="A45" s="154" t="s">
        <v>144</v>
      </c>
      <c r="B45" s="154"/>
      <c r="C45" s="10" t="s">
        <v>21</v>
      </c>
      <c r="D45" s="11">
        <v>2644.64</v>
      </c>
      <c r="E45" s="11" t="s">
        <v>13</v>
      </c>
      <c r="F45" s="11">
        <v>879</v>
      </c>
      <c r="G45" s="145">
        <f>C49-E49</f>
        <v>5884.66</v>
      </c>
      <c r="H45" s="10" t="s">
        <v>21</v>
      </c>
      <c r="I45" s="11">
        <v>2644.64</v>
      </c>
      <c r="J45" s="11" t="s">
        <v>13</v>
      </c>
      <c r="K45" s="11">
        <v>879</v>
      </c>
      <c r="L45" s="145">
        <f>H49-J49</f>
        <v>5884.66</v>
      </c>
      <c r="M45" s="145">
        <f>H49-C49</f>
        <v>0</v>
      </c>
      <c r="N45" s="145">
        <v>5884.66</v>
      </c>
      <c r="O45" s="145">
        <f>L45-N45</f>
        <v>0</v>
      </c>
      <c r="P45" s="14"/>
    </row>
    <row r="46" spans="1:16" ht="17.25" customHeight="1">
      <c r="A46" s="154"/>
      <c r="B46" s="154"/>
      <c r="C46" s="18" t="s">
        <v>145</v>
      </c>
      <c r="D46" s="11">
        <v>1454.55</v>
      </c>
      <c r="E46" s="11"/>
      <c r="F46" s="11"/>
      <c r="G46" s="145"/>
      <c r="H46" s="18" t="s">
        <v>145</v>
      </c>
      <c r="I46" s="11">
        <v>1454.55</v>
      </c>
      <c r="J46" s="11"/>
      <c r="K46" s="11"/>
      <c r="L46" s="145"/>
      <c r="M46" s="145"/>
      <c r="N46" s="145"/>
      <c r="O46" s="145"/>
      <c r="P46" s="14"/>
    </row>
    <row r="47" spans="1:16" ht="17.25" customHeight="1">
      <c r="A47" s="154"/>
      <c r="B47" s="154"/>
      <c r="C47" s="18" t="s">
        <v>16</v>
      </c>
      <c r="D47" s="11">
        <v>2664.47</v>
      </c>
      <c r="E47" s="11"/>
      <c r="F47" s="11"/>
      <c r="G47" s="145"/>
      <c r="H47" s="18" t="s">
        <v>16</v>
      </c>
      <c r="I47" s="11">
        <v>2664.47</v>
      </c>
      <c r="J47" s="11"/>
      <c r="K47" s="11"/>
      <c r="L47" s="145"/>
      <c r="M47" s="145"/>
      <c r="N47" s="145"/>
      <c r="O47" s="145"/>
      <c r="P47" s="14"/>
    </row>
    <row r="48" spans="1:16" ht="13.5" customHeight="1" hidden="1">
      <c r="A48" s="154"/>
      <c r="B48" s="154"/>
      <c r="C48" s="11"/>
      <c r="D48" s="11"/>
      <c r="E48" s="11"/>
      <c r="F48" s="11"/>
      <c r="G48" s="145"/>
      <c r="H48" s="11"/>
      <c r="I48" s="11"/>
      <c r="J48" s="11"/>
      <c r="K48" s="11"/>
      <c r="L48" s="145"/>
      <c r="M48" s="145"/>
      <c r="N48" s="145"/>
      <c r="O48" s="145"/>
      <c r="P48" s="14"/>
    </row>
    <row r="49" spans="1:16" ht="13.5" customHeight="1">
      <c r="A49" s="146" t="s">
        <v>19</v>
      </c>
      <c r="B49" s="146"/>
      <c r="C49" s="145">
        <f>D45+D46+D47+D48</f>
        <v>6763.66</v>
      </c>
      <c r="D49" s="145"/>
      <c r="E49" s="145">
        <f>F45+F46+F47+F48</f>
        <v>879</v>
      </c>
      <c r="F49" s="145"/>
      <c r="G49" s="145"/>
      <c r="H49" s="145">
        <f>I45+I46+I47</f>
        <v>6763.66</v>
      </c>
      <c r="I49" s="145"/>
      <c r="J49" s="145">
        <f>K45+K46+K47+K48</f>
        <v>879</v>
      </c>
      <c r="K49" s="145"/>
      <c r="L49" s="145"/>
      <c r="M49" s="145"/>
      <c r="N49" s="145"/>
      <c r="O49" s="145"/>
      <c r="P49" s="14"/>
    </row>
    <row r="50" spans="1:16" ht="20.25" customHeight="1">
      <c r="A50" s="144" t="s">
        <v>146</v>
      </c>
      <c r="B50" s="144"/>
      <c r="C50" s="145">
        <f>C16+C26+C33+C39+C44+C49</f>
        <v>101367.63350000001</v>
      </c>
      <c r="D50" s="145"/>
      <c r="E50" s="145">
        <f>E16+E26+E33+E39+E44+E49</f>
        <v>12995</v>
      </c>
      <c r="F50" s="145"/>
      <c r="G50" s="12">
        <f>SUM(G9:G39)+G40+G45</f>
        <v>88372.63350000001</v>
      </c>
      <c r="H50" s="145">
        <f>H16+H26+H33+H39+H44+H49</f>
        <v>103592.24750000001</v>
      </c>
      <c r="I50" s="145"/>
      <c r="J50" s="145">
        <f>J16+J26+J33+J39+J44+J49</f>
        <v>13283.03</v>
      </c>
      <c r="K50" s="145"/>
      <c r="L50" s="12">
        <f>L9+L17+L27+L34+L40+L45</f>
        <v>90309.2175</v>
      </c>
      <c r="M50" s="12">
        <f>M9+M17+M27+M34+M40+M45</f>
        <v>2224.6139999999978</v>
      </c>
      <c r="N50" s="12">
        <f>N9+N17+N27+N34+N40+N45</f>
        <v>88354.81000000001</v>
      </c>
      <c r="O50" s="12">
        <f>O9+O17+O27+O34+O40+O45</f>
        <v>1954.4074999999993</v>
      </c>
      <c r="P50" s="14"/>
    </row>
    <row r="51" spans="3:13" ht="21" customHeight="1">
      <c r="C51" t="s">
        <v>147</v>
      </c>
      <c r="E51" s="20"/>
      <c r="F51" s="21"/>
      <c r="G51" s="21"/>
      <c r="H51" s="21"/>
      <c r="I51" s="21"/>
      <c r="J51" s="21"/>
      <c r="K51" s="21"/>
      <c r="L51" s="21"/>
      <c r="M51" s="21"/>
    </row>
    <row r="52" spans="1:13" ht="69.75" customHeight="1">
      <c r="A52" s="22"/>
      <c r="B52" s="23" t="s">
        <v>31</v>
      </c>
      <c r="C52" s="23" t="s">
        <v>32</v>
      </c>
      <c r="D52" s="24" t="s">
        <v>33</v>
      </c>
      <c r="E52" s="25" t="s">
        <v>34</v>
      </c>
      <c r="F52" s="21"/>
      <c r="G52" s="21"/>
      <c r="H52" s="21"/>
      <c r="I52" s="21"/>
      <c r="J52" s="21"/>
      <c r="K52" s="21"/>
      <c r="L52" s="21"/>
      <c r="M52" s="21"/>
    </row>
    <row r="53" spans="1:13" ht="16.5" customHeight="1">
      <c r="A53" s="22" t="s">
        <v>35</v>
      </c>
      <c r="B53" s="22">
        <f>C16-F9</f>
        <v>6183.083500000001</v>
      </c>
      <c r="C53" s="22">
        <f>K10+N9</f>
        <v>6183.08</v>
      </c>
      <c r="D53" s="25">
        <f>H16-K9</f>
        <v>6183.083500000001</v>
      </c>
      <c r="E53" s="26">
        <f>D53-C53</f>
        <v>0.003500000000713044</v>
      </c>
      <c r="F53" s="21"/>
      <c r="G53" s="21"/>
      <c r="H53" s="21"/>
      <c r="I53" s="21"/>
      <c r="J53" s="40">
        <f>N50</f>
        <v>88354.81000000001</v>
      </c>
      <c r="K53" s="21"/>
      <c r="L53" s="21"/>
      <c r="M53" s="21"/>
    </row>
    <row r="54" spans="1:13" ht="15.75" customHeight="1">
      <c r="A54" s="22" t="s">
        <v>36</v>
      </c>
      <c r="B54" s="22">
        <f>C26-F17</f>
        <v>35321.02</v>
      </c>
      <c r="C54" s="22">
        <f>K18+N17</f>
        <v>35303.2</v>
      </c>
      <c r="D54" s="25">
        <f>H26-K17</f>
        <v>35306.2</v>
      </c>
      <c r="E54" s="26">
        <f>D54-C54</f>
        <v>3</v>
      </c>
      <c r="F54" s="21"/>
      <c r="G54" s="21"/>
      <c r="H54" s="21"/>
      <c r="I54" s="21"/>
      <c r="J54" s="21"/>
      <c r="K54" s="21"/>
      <c r="L54" s="21"/>
      <c r="M54" s="21"/>
    </row>
    <row r="55" spans="1:13" ht="14.25" customHeight="1">
      <c r="A55" s="22" t="s">
        <v>37</v>
      </c>
      <c r="B55" s="22">
        <f>C33-F27</f>
        <v>16694</v>
      </c>
      <c r="C55" s="22">
        <f>K28+N27</f>
        <v>16694</v>
      </c>
      <c r="D55" s="25">
        <f>H33-K27</f>
        <v>16693.9985</v>
      </c>
      <c r="E55" s="26">
        <f>D55-C55</f>
        <v>-0.0014999999984866008</v>
      </c>
      <c r="F55" s="21"/>
      <c r="G55" s="21"/>
      <c r="H55" s="21"/>
      <c r="I55" s="21"/>
      <c r="J55" s="21"/>
      <c r="K55" s="21"/>
      <c r="L55" s="21"/>
      <c r="M55" s="21"/>
    </row>
    <row r="56" spans="1:13" ht="15.75" customHeight="1">
      <c r="A56" s="22" t="s">
        <v>38</v>
      </c>
      <c r="B56" s="22">
        <f>C39-F34</f>
        <v>22620.07</v>
      </c>
      <c r="C56" s="22">
        <f>K35+N34</f>
        <v>22620.07</v>
      </c>
      <c r="D56" s="25">
        <f>H39-K34</f>
        <v>24571.475499999997</v>
      </c>
      <c r="E56" s="26">
        <f>D56-C56</f>
        <v>1951.4054999999971</v>
      </c>
      <c r="F56" s="21"/>
      <c r="G56" s="21"/>
      <c r="H56" s="21"/>
      <c r="I56" s="21"/>
      <c r="J56" s="21"/>
      <c r="K56" s="21"/>
      <c r="L56" s="21"/>
      <c r="M56" s="21"/>
    </row>
    <row r="57" spans="1:13" ht="15.75" customHeight="1">
      <c r="A57" s="22" t="s">
        <v>39</v>
      </c>
      <c r="B57" s="22">
        <f>B53+B54+B55+B56</f>
        <v>80818.1735</v>
      </c>
      <c r="C57" s="22">
        <f>C53+C54+C55+C56</f>
        <v>80800.35</v>
      </c>
      <c r="D57" s="25">
        <f>SUM(D53:D56)</f>
        <v>82754.75749999999</v>
      </c>
      <c r="E57" s="26">
        <f>D57-C57</f>
        <v>1954.4074999999866</v>
      </c>
      <c r="F57" s="27"/>
      <c r="G57" s="21"/>
      <c r="H57" s="21"/>
      <c r="I57" s="21"/>
      <c r="J57" s="21"/>
      <c r="K57" s="21"/>
      <c r="L57" s="21"/>
      <c r="M57" s="21"/>
    </row>
    <row r="58" spans="1:13" ht="15.75" customHeight="1">
      <c r="A58" s="28"/>
      <c r="B58" s="28"/>
      <c r="C58" s="28"/>
      <c r="D58" s="28"/>
      <c r="E58" s="25"/>
      <c r="F58" s="21"/>
      <c r="G58" s="21"/>
      <c r="H58" s="21"/>
      <c r="I58" s="21"/>
      <c r="J58" s="21"/>
      <c r="K58" s="21"/>
      <c r="L58" s="21"/>
      <c r="M58" s="21"/>
    </row>
    <row r="59" spans="1:13" ht="19.5" customHeight="1">
      <c r="A59" s="141" t="s">
        <v>40</v>
      </c>
      <c r="B59" s="141"/>
      <c r="C59" s="141"/>
      <c r="D59" s="141"/>
      <c r="E59" s="141"/>
      <c r="F59" s="21"/>
      <c r="G59" s="21"/>
      <c r="H59" s="21"/>
      <c r="I59" s="21"/>
      <c r="J59" s="21"/>
      <c r="K59" s="21"/>
      <c r="L59" s="21"/>
      <c r="M59" s="21"/>
    </row>
    <row r="60" spans="1:5" ht="24">
      <c r="A60" s="29" t="s">
        <v>41</v>
      </c>
      <c r="B60" s="23" t="s">
        <v>42</v>
      </c>
      <c r="C60" s="23" t="s">
        <v>43</v>
      </c>
      <c r="D60" s="23" t="s">
        <v>44</v>
      </c>
      <c r="E60" s="23" t="s">
        <v>34</v>
      </c>
    </row>
    <row r="61" spans="1:6" ht="15">
      <c r="A61" s="29">
        <v>111</v>
      </c>
      <c r="B61" s="22" t="s">
        <v>13</v>
      </c>
      <c r="C61" s="22">
        <f>F9+F17+F27+F34+F40+F45</f>
        <v>12995</v>
      </c>
      <c r="D61" s="22">
        <f>K9+K17+K27+K34+K40+K45</f>
        <v>13283.03</v>
      </c>
      <c r="E61" s="22">
        <f aca="true" t="shared" si="0" ref="E61:E68">D61-C61</f>
        <v>288.03000000000065</v>
      </c>
      <c r="F61" t="s">
        <v>136</v>
      </c>
    </row>
    <row r="62" spans="1:5" ht="15">
      <c r="A62" s="142" t="s">
        <v>39</v>
      </c>
      <c r="B62" s="142"/>
      <c r="C62" s="29">
        <f>SUM(C61:C61)</f>
        <v>12995</v>
      </c>
      <c r="D62" s="29">
        <f>SUM(D61:D61)</f>
        <v>13283.03</v>
      </c>
      <c r="E62" s="22">
        <f t="shared" si="0"/>
        <v>288.03000000000065</v>
      </c>
    </row>
    <row r="63" spans="1:7" ht="15">
      <c r="A63" s="29">
        <v>119</v>
      </c>
      <c r="B63" s="30">
        <v>0.22</v>
      </c>
      <c r="C63" s="22">
        <f>13715.82-612.93+4689.46</f>
        <v>17792.35</v>
      </c>
      <c r="D63" s="22">
        <f>(H50-I23-I14)*22%</f>
        <v>22269.70405</v>
      </c>
      <c r="E63" s="22">
        <f t="shared" si="0"/>
        <v>4477.354050000002</v>
      </c>
      <c r="F63" s="31"/>
      <c r="G63" s="14"/>
    </row>
    <row r="64" spans="1:7" ht="15">
      <c r="A64" s="29">
        <v>119</v>
      </c>
      <c r="B64" s="30">
        <v>0.029</v>
      </c>
      <c r="C64" s="22">
        <f>1635.25-643.21-652.45</f>
        <v>339.5899999999999</v>
      </c>
      <c r="D64" s="22">
        <f>(H50-I14-I23)*2.9%</f>
        <v>2935.5518975</v>
      </c>
      <c r="E64" s="22">
        <f t="shared" si="0"/>
        <v>2595.9618975000003</v>
      </c>
      <c r="F64" s="31"/>
      <c r="G64" s="14"/>
    </row>
    <row r="65" spans="1:7" ht="15">
      <c r="A65" s="29">
        <v>119</v>
      </c>
      <c r="B65" s="30">
        <v>0.051</v>
      </c>
      <c r="C65" s="22">
        <f>1772.96+6593.23-2517.78</f>
        <v>5848.409999999998</v>
      </c>
      <c r="D65" s="22">
        <f>(H50-I23-I14)*5.1%</f>
        <v>5162.5223025</v>
      </c>
      <c r="E65" s="22">
        <f t="shared" si="0"/>
        <v>-685.8876974999985</v>
      </c>
      <c r="F65" s="31"/>
      <c r="G65" s="14"/>
    </row>
    <row r="66" spans="1:7" ht="15">
      <c r="A66" s="29">
        <v>119</v>
      </c>
      <c r="B66" s="30">
        <v>0.002</v>
      </c>
      <c r="C66" s="22">
        <f>835.82+794.86</f>
        <v>1630.68</v>
      </c>
      <c r="D66" s="22">
        <f>(H50-I14-I23)*0.2%</f>
        <v>202.45185500000002</v>
      </c>
      <c r="E66" s="22">
        <f t="shared" si="0"/>
        <v>-1428.228145</v>
      </c>
      <c r="F66" s="31"/>
      <c r="G66" s="14"/>
    </row>
    <row r="67" spans="1:7" ht="15">
      <c r="A67" s="143" t="s">
        <v>39</v>
      </c>
      <c r="B67" s="143"/>
      <c r="C67" s="32">
        <f>SUM(C63:C66)</f>
        <v>25611.03</v>
      </c>
      <c r="D67" s="32">
        <f>SUM(D63:D66)</f>
        <v>30570.230105000002</v>
      </c>
      <c r="E67" s="22">
        <f t="shared" si="0"/>
        <v>4959.2001050000035</v>
      </c>
      <c r="F67" s="33"/>
      <c r="G67" s="33"/>
    </row>
    <row r="68" spans="1:5" ht="15">
      <c r="A68" s="142" t="s">
        <v>45</v>
      </c>
      <c r="B68" s="142"/>
      <c r="C68" s="29">
        <f>C62+C67</f>
        <v>38606.03</v>
      </c>
      <c r="D68" s="29">
        <f>D62+D67</f>
        <v>43853.260105</v>
      </c>
      <c r="E68" s="22">
        <f t="shared" si="0"/>
        <v>5247.230105000002</v>
      </c>
    </row>
  </sheetData>
  <sheetProtection/>
  <mergeCells count="90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N17:N26"/>
    <mergeCell ref="N9:N16"/>
    <mergeCell ref="O9:O16"/>
    <mergeCell ref="A16:B16"/>
    <mergeCell ref="C16:D16"/>
    <mergeCell ref="E16:F16"/>
    <mergeCell ref="H16:I16"/>
    <mergeCell ref="J16:K16"/>
    <mergeCell ref="O17:O26"/>
    <mergeCell ref="A26:B26"/>
    <mergeCell ref="C26:D26"/>
    <mergeCell ref="E26:F26"/>
    <mergeCell ref="H26:I26"/>
    <mergeCell ref="J26:K26"/>
    <mergeCell ref="A17:B25"/>
    <mergeCell ref="G17:G26"/>
    <mergeCell ref="L17:L26"/>
    <mergeCell ref="M17:M26"/>
    <mergeCell ref="J33:K33"/>
    <mergeCell ref="A27:B32"/>
    <mergeCell ref="G27:G33"/>
    <mergeCell ref="L27:L33"/>
    <mergeCell ref="M27:M33"/>
    <mergeCell ref="N27:N33"/>
    <mergeCell ref="A34:B38"/>
    <mergeCell ref="G34:G39"/>
    <mergeCell ref="L34:L39"/>
    <mergeCell ref="M34:M39"/>
    <mergeCell ref="N34:N39"/>
    <mergeCell ref="O27:O33"/>
    <mergeCell ref="A33:B33"/>
    <mergeCell ref="C33:D33"/>
    <mergeCell ref="E33:F33"/>
    <mergeCell ref="H33:I33"/>
    <mergeCell ref="G40:G44"/>
    <mergeCell ref="L40:L44"/>
    <mergeCell ref="M40:M44"/>
    <mergeCell ref="N40:N44"/>
    <mergeCell ref="O34:O39"/>
    <mergeCell ref="A39:B39"/>
    <mergeCell ref="C39:D39"/>
    <mergeCell ref="E39:F39"/>
    <mergeCell ref="H39:I39"/>
    <mergeCell ref="J39:K39"/>
    <mergeCell ref="L45:L49"/>
    <mergeCell ref="M45:M49"/>
    <mergeCell ref="N45:N49"/>
    <mergeCell ref="O40:O44"/>
    <mergeCell ref="A44:B44"/>
    <mergeCell ref="C44:D44"/>
    <mergeCell ref="E44:F44"/>
    <mergeCell ref="H44:I44"/>
    <mergeCell ref="J44:K44"/>
    <mergeCell ref="A40:B43"/>
    <mergeCell ref="H50:I50"/>
    <mergeCell ref="J50:K50"/>
    <mergeCell ref="O45:O49"/>
    <mergeCell ref="A49:B49"/>
    <mergeCell ref="C49:D49"/>
    <mergeCell ref="E49:F49"/>
    <mergeCell ref="H49:I49"/>
    <mergeCell ref="J49:K49"/>
    <mergeCell ref="A45:B48"/>
    <mergeCell ref="G45:G49"/>
    <mergeCell ref="A59:E59"/>
    <mergeCell ref="A62:B62"/>
    <mergeCell ref="A67:B67"/>
    <mergeCell ref="A68:B68"/>
    <mergeCell ref="A50:B50"/>
    <mergeCell ref="C50:D50"/>
    <mergeCell ref="E50:F50"/>
  </mergeCells>
  <printOptions/>
  <pageMargins left="0.330555555555556" right="0.344444444444444" top="0.39375" bottom="0.39375" header="0.511805555555555" footer="0.511805555555555"/>
  <pageSetup horizontalDpi="300" verticalDpi="300" orientation="landscape" paperSize="9" scale="6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workbookViewId="0" topLeftCell="A22">
      <selection activeCell="H9" sqref="H9"/>
    </sheetView>
  </sheetViews>
  <sheetFormatPr defaultColWidth="9.7109375" defaultRowHeight="15"/>
  <cols>
    <col min="1" max="1" width="9.7109375" style="0" customWidth="1"/>
    <col min="2" max="2" width="10.8515625" style="0" customWidth="1"/>
    <col min="3" max="3" width="12.28125" style="0" customWidth="1"/>
    <col min="4" max="4" width="21.8515625" style="0" customWidth="1"/>
    <col min="5" max="5" width="9.7109375" style="0" customWidth="1"/>
    <col min="6" max="6" width="14.00390625" style="0" customWidth="1"/>
    <col min="7" max="9" width="9.7109375" style="0" customWidth="1"/>
    <col min="10" max="10" width="26.28125" style="0" customWidth="1"/>
    <col min="11" max="11" width="12.421875" style="0" customWidth="1"/>
    <col min="12" max="12" width="14.28125" style="0" customWidth="1"/>
    <col min="13" max="13" width="11.57421875" style="0" customWidth="1"/>
    <col min="14" max="14" width="8.00390625" style="0" customWidth="1"/>
    <col min="15" max="15" width="17.57421875" style="0" customWidth="1"/>
    <col min="16" max="16" width="11.8515625" style="0" customWidth="1"/>
    <col min="17" max="17" width="12.00390625" style="0" customWidth="1"/>
    <col min="18" max="18" width="10.8515625" style="0" customWidth="1"/>
  </cols>
  <sheetData>
    <row r="1" spans="1:17" ht="12.75" customHeight="1">
      <c r="A1" s="1"/>
      <c r="B1" s="1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3"/>
      <c r="P1" s="164" t="s">
        <v>148</v>
      </c>
      <c r="Q1" s="164"/>
    </row>
    <row r="2" spans="1:17" ht="12.75" customHeight="1">
      <c r="A2" s="1"/>
      <c r="B2" s="1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3"/>
      <c r="P2" s="41"/>
      <c r="Q2" s="41"/>
    </row>
    <row r="3" spans="1:17" ht="12.75" customHeight="1">
      <c r="A3" s="165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</row>
    <row r="5" spans="1:17" ht="12.75" customHeight="1">
      <c r="A5" s="150" t="s">
        <v>5</v>
      </c>
      <c r="B5" s="150"/>
      <c r="C5" s="153" t="s">
        <v>150</v>
      </c>
      <c r="D5" s="153"/>
      <c r="E5" s="153"/>
      <c r="F5" s="153"/>
      <c r="G5" s="153"/>
      <c r="H5" s="153"/>
      <c r="I5" s="153" t="s">
        <v>151</v>
      </c>
      <c r="J5" s="153"/>
      <c r="K5" s="153"/>
      <c r="L5" s="153"/>
      <c r="M5" s="153"/>
      <c r="N5" s="153"/>
      <c r="O5" s="144" t="s">
        <v>152</v>
      </c>
      <c r="P5" s="144" t="s">
        <v>3</v>
      </c>
      <c r="Q5" s="144" t="s">
        <v>153</v>
      </c>
    </row>
    <row r="6" spans="1:17" ht="12.75" customHeight="1">
      <c r="A6" s="150"/>
      <c r="B6" s="150"/>
      <c r="C6" s="144" t="s">
        <v>6</v>
      </c>
      <c r="D6" s="144"/>
      <c r="E6" s="144"/>
      <c r="F6" s="144" t="s">
        <v>154</v>
      </c>
      <c r="G6" s="144"/>
      <c r="H6" s="144" t="s">
        <v>7</v>
      </c>
      <c r="I6" s="144" t="s">
        <v>6</v>
      </c>
      <c r="J6" s="144"/>
      <c r="K6" s="144"/>
      <c r="L6" s="144" t="s">
        <v>154</v>
      </c>
      <c r="M6" s="144"/>
      <c r="N6" s="144" t="s">
        <v>7</v>
      </c>
      <c r="O6" s="144"/>
      <c r="P6" s="144"/>
      <c r="Q6" s="144"/>
    </row>
    <row r="7" spans="1:17" ht="53.25" customHeight="1">
      <c r="A7" s="150"/>
      <c r="B7" s="150"/>
      <c r="C7" s="144" t="s">
        <v>8</v>
      </c>
      <c r="D7" s="144"/>
      <c r="E7" s="6" t="s">
        <v>9</v>
      </c>
      <c r="F7" s="5" t="s">
        <v>10</v>
      </c>
      <c r="G7" s="6" t="s">
        <v>9</v>
      </c>
      <c r="H7" s="144"/>
      <c r="I7" s="144" t="s">
        <v>8</v>
      </c>
      <c r="J7" s="144" t="s">
        <v>155</v>
      </c>
      <c r="K7" s="6" t="s">
        <v>9</v>
      </c>
      <c r="L7" s="5" t="s">
        <v>10</v>
      </c>
      <c r="M7" s="6" t="s">
        <v>9</v>
      </c>
      <c r="N7" s="144"/>
      <c r="O7" s="144"/>
      <c r="P7" s="144"/>
      <c r="Q7" s="144"/>
    </row>
    <row r="8" spans="1:17" ht="12.75" customHeight="1">
      <c r="A8" s="163">
        <v>1</v>
      </c>
      <c r="B8" s="163"/>
      <c r="C8" s="163">
        <v>2</v>
      </c>
      <c r="D8" s="163"/>
      <c r="E8" s="42">
        <v>3</v>
      </c>
      <c r="F8" s="42">
        <v>4</v>
      </c>
      <c r="G8" s="43">
        <v>5</v>
      </c>
      <c r="H8" s="42">
        <v>6</v>
      </c>
      <c r="I8" s="163">
        <v>7</v>
      </c>
      <c r="J8" s="163"/>
      <c r="K8" s="43">
        <v>8</v>
      </c>
      <c r="L8" s="42">
        <v>9</v>
      </c>
      <c r="M8" s="43">
        <v>10</v>
      </c>
      <c r="N8" s="42">
        <v>11</v>
      </c>
      <c r="O8" s="42">
        <v>12</v>
      </c>
      <c r="P8" s="42">
        <v>13</v>
      </c>
      <c r="Q8" s="42">
        <v>14</v>
      </c>
    </row>
    <row r="9" spans="1:19" ht="12.75" customHeight="1">
      <c r="A9" s="147" t="s">
        <v>156</v>
      </c>
      <c r="B9" s="147"/>
      <c r="C9" s="158" t="s">
        <v>21</v>
      </c>
      <c r="D9" s="158"/>
      <c r="E9" s="11">
        <f>январь!D9+февраль!D9+март!D9+апрель!D9+май!D9+июнь!D9+июль!D9+август!D9+сентябрь!D9+октябрь!D9+ноябрь!D9+декабрь!D9</f>
        <v>43094.55</v>
      </c>
      <c r="F9" s="11" t="s">
        <v>13</v>
      </c>
      <c r="G9" s="11">
        <f>январь!F9+февраль!F9+март!F9+апрель!F9+май!F9+июнь!F9+июль!F9+август!F9+сентябрь!F9+октябрь!F9+ноябрь!F9+декабрь!F9</f>
        <v>31052</v>
      </c>
      <c r="H9" s="145">
        <f>январь!G9+февраль!G9+март!G9+апрель!G9+май!G9+июнь!G9+июль!G9+август!G9+сентябрь!G9+октябрь!G9+ноябрь!G9+декабрь!G9</f>
        <v>67998.21350000004</v>
      </c>
      <c r="I9" s="158" t="s">
        <v>21</v>
      </c>
      <c r="J9" s="158"/>
      <c r="K9" s="11">
        <f>январь!I9+февраль!I9+март!I9+апрель!I9+май!I9+июнь!I9+июль!I9+август!I9+сентябрь!I9+октябрь!I9+ноябрь!I9+декабрь!I9</f>
        <v>43094.55</v>
      </c>
      <c r="L9" s="13" t="s">
        <v>13</v>
      </c>
      <c r="M9" s="11">
        <f>январь!K9+февраль!K9+март!K9+апрель!K9+май!K9+июнь!K9+июль!K9+август!K9+сентябрь!K9+октябрь!K9+ноябрь!K9+декабрь!K9</f>
        <v>31052</v>
      </c>
      <c r="N9" s="145">
        <f>февраль!L9+март!L9+май!L9+июнь!L9+июль!L9+август!L9+сентябрь!L9+октябрь!L9+ноябрь!L9+декабрь!L9</f>
        <v>71143.02350000004</v>
      </c>
      <c r="O9" s="145">
        <f>январь!M9+февраль!M9+март!M9+апрель!M9+май!M9+июнь!M9+июль!M9+август!M9+сентябрь!M9+октябрь!M9+ноябрь!M9+декабрь!M9</f>
        <v>0</v>
      </c>
      <c r="P9" s="145">
        <f>январь!N9+февраль!N9+март!N9+апрель!N9+май!N9+июнь!N9+июль!N9+август!N9+сентябрь!N9+октябрь!N9+ноябрь!N9+декабрь!N9</f>
        <v>71143.92</v>
      </c>
      <c r="Q9" s="145">
        <f>январь!O9+февраль!O9+март!O9+апрель!O9+май!O9+июнь!O9+июль!O9+август!O9+сентябрь!O9+октябрь!O9+ноябрь!O9+декабрь!O9</f>
        <v>-0.8964999999927841</v>
      </c>
      <c r="S9">
        <f aca="true" t="shared" si="0" ref="S9:S27">K9-E9</f>
        <v>0</v>
      </c>
    </row>
    <row r="10" spans="1:19" ht="19.5" customHeight="1">
      <c r="A10" s="147"/>
      <c r="B10" s="147"/>
      <c r="C10" s="162" t="s">
        <v>157</v>
      </c>
      <c r="D10" s="162"/>
      <c r="E10" s="11">
        <f>январь!D10+февраль!D10+март!D10+апрель!D10+май!D10+июнь!D10+июль!D10+август!D10+сентябрь!D10+октябрь!D10+ноябрь!D10+декабрь!D10</f>
        <v>1292.8400000000001</v>
      </c>
      <c r="F10" s="16" t="s">
        <v>14</v>
      </c>
      <c r="G10" s="11">
        <f>январь!F10+февраль!F10+март!F10+апрель!F10+май!F10+июнь!F10+июль!F10+август!F10+сентябрь!F10+октябрь!F10+ноябрь!F10+декабрь!F10</f>
        <v>75000</v>
      </c>
      <c r="H10" s="145"/>
      <c r="I10" s="162" t="s">
        <v>158</v>
      </c>
      <c r="J10" s="162"/>
      <c r="K10" s="11">
        <f>январь!I10+февраль!I10+март!I10+апрель!I10+май!I10+июнь!I10+июль!I10+август!I10+сентябрь!I10+октябрь!I10+ноябрь!I10+декабрь!I10</f>
        <v>1292.8400000000001</v>
      </c>
      <c r="L10" s="16" t="s">
        <v>14</v>
      </c>
      <c r="M10" s="11">
        <f>январь!K10+февраль!K10+март!K10+апрель!K10+май!K10+июнь!K10+июль!K10+август!K10+сентябрь!K10+октябрь!K10+ноябрь!K10+декабрь!K10</f>
        <v>75000</v>
      </c>
      <c r="N10" s="145"/>
      <c r="O10" s="145"/>
      <c r="P10" s="145"/>
      <c r="Q10" s="145"/>
      <c r="S10">
        <f t="shared" si="0"/>
        <v>0</v>
      </c>
    </row>
    <row r="11" spans="1:19" ht="20.25" customHeight="1">
      <c r="A11" s="147"/>
      <c r="B11" s="147"/>
      <c r="C11" s="162" t="s">
        <v>159</v>
      </c>
      <c r="D11" s="162"/>
      <c r="E11" s="11">
        <f>январь!D11+февраль!D11+март!D11+апрель!D11+май!D11+июнь!D11+июль!D11+август!D11+сентябрь!D11+октябрь!D11+ноябрь!D11+декабрь!D11</f>
        <v>12928.36</v>
      </c>
      <c r="F11" s="11" t="s">
        <v>58</v>
      </c>
      <c r="G11" s="11">
        <f>март!F11+апрель!F11+май!F11+июнь!F11+июль!F11+август!F11+сентябрь!F11+октябрь!F11</f>
        <v>40888.58</v>
      </c>
      <c r="H11" s="145"/>
      <c r="I11" s="162" t="s">
        <v>22</v>
      </c>
      <c r="J11" s="162"/>
      <c r="K11" s="11">
        <f>январь!I11+февраль!I11+март!I11+апрель!I11+май!I11+июнь!I11+июль!I11+август!I11+сентябрь!I11+октябрь!I11+ноябрь!I11+декабрь!I11</f>
        <v>12928.36</v>
      </c>
      <c r="L11" s="16" t="s">
        <v>58</v>
      </c>
      <c r="M11" s="11">
        <f>март!K11+апрель!K11+май!K11+июнь!K11+июль!K11+август!K11+сентябрь!K11+октябрь!K11</f>
        <v>40888.58</v>
      </c>
      <c r="N11" s="145"/>
      <c r="O11" s="145"/>
      <c r="P11" s="145"/>
      <c r="Q11" s="145"/>
      <c r="S11">
        <f t="shared" si="0"/>
        <v>0</v>
      </c>
    </row>
    <row r="12" spans="1:19" ht="16.5" customHeight="1">
      <c r="A12" s="147"/>
      <c r="B12" s="147"/>
      <c r="C12" s="159" t="s">
        <v>160</v>
      </c>
      <c r="D12" s="159"/>
      <c r="E12" s="11">
        <f>январь!D12+февраль!D12+март!D12+апрель!D12+май!D12+июнь!D12+июль!D12+август!D12+сентябрь!D12+октябрь!D12+ноябрь!D12+декабрь!D12</f>
        <v>72398.84</v>
      </c>
      <c r="F12" s="16" t="s">
        <v>100</v>
      </c>
      <c r="G12" s="11">
        <f>февраль!F11+май!F12</f>
        <v>3144.81</v>
      </c>
      <c r="H12" s="145"/>
      <c r="I12" s="159" t="s">
        <v>160</v>
      </c>
      <c r="J12" s="159"/>
      <c r="K12" s="11">
        <f>январь!I12+февраль!I12+март!I12+апрель!I12+май!I12+июнь!I12+июль!I12+август!I12+сентябрь!I12+октябрь!I12+ноябрь!I12+декабрь!I12</f>
        <v>72398.84</v>
      </c>
      <c r="L12" s="16" t="s">
        <v>100</v>
      </c>
      <c r="M12" s="11">
        <f>февраль!K11+май!K12</f>
        <v>3144.81</v>
      </c>
      <c r="N12" s="145"/>
      <c r="O12" s="145"/>
      <c r="P12" s="145"/>
      <c r="Q12" s="145"/>
      <c r="R12">
        <f>N9-P9</f>
        <v>-0.8964999999589054</v>
      </c>
      <c r="S12">
        <f t="shared" si="0"/>
        <v>0</v>
      </c>
    </row>
    <row r="13" spans="1:19" ht="19.5" customHeight="1">
      <c r="A13" s="147"/>
      <c r="B13" s="147"/>
      <c r="C13" s="159" t="s">
        <v>16</v>
      </c>
      <c r="D13" s="159"/>
      <c r="E13" s="11">
        <f>январь!D13+февраль!D13+март!D13+апрель!D13+май!D13+июнь!D13+июль!D13+август!D13+сентябрь!D13+октябрь!D13+ноябрь!D13+декабрь!D13</f>
        <v>84314.48350000002</v>
      </c>
      <c r="F13" s="11" t="s">
        <v>99</v>
      </c>
      <c r="G13" s="11">
        <f>ноябрь!F11</f>
        <v>20761.56</v>
      </c>
      <c r="H13" s="145"/>
      <c r="I13" s="159" t="s">
        <v>16</v>
      </c>
      <c r="J13" s="159"/>
      <c r="K13" s="11">
        <f>январь!I13+февраль!I13+март!I13+апрель!I13+май!I13+июнь!I13+июль!I13+август!I13+сентябрь!I13+октябрь!I13+ноябрь!I13+декабрь!I13</f>
        <v>84314.48350000002</v>
      </c>
      <c r="L13" s="11" t="s">
        <v>99</v>
      </c>
      <c r="M13" s="11">
        <f>ноябрь!K11</f>
        <v>20761.56</v>
      </c>
      <c r="N13" s="145"/>
      <c r="O13" s="145"/>
      <c r="P13" s="145"/>
      <c r="Q13" s="145"/>
      <c r="S13">
        <f t="shared" si="0"/>
        <v>0</v>
      </c>
    </row>
    <row r="14" spans="1:19" ht="12.75" customHeight="1">
      <c r="A14" s="147"/>
      <c r="B14" s="147"/>
      <c r="C14" s="159" t="s">
        <v>17</v>
      </c>
      <c r="D14" s="159" t="s">
        <v>17</v>
      </c>
      <c r="E14" s="11">
        <f>январь!D14+декабрь!D14</f>
        <v>4580.23</v>
      </c>
      <c r="F14" s="11"/>
      <c r="G14" s="11"/>
      <c r="H14" s="145"/>
      <c r="I14" s="159" t="s">
        <v>17</v>
      </c>
      <c r="J14" s="159" t="s">
        <v>17</v>
      </c>
      <c r="K14" s="11">
        <f>январь!D14+декабрь!I14</f>
        <v>4580.23</v>
      </c>
      <c r="L14" s="17"/>
      <c r="M14" s="11"/>
      <c r="N14" s="145"/>
      <c r="O14" s="145"/>
      <c r="P14" s="145"/>
      <c r="Q14" s="145"/>
      <c r="S14">
        <f t="shared" si="0"/>
        <v>0</v>
      </c>
    </row>
    <row r="15" spans="1:19" ht="12.75" customHeight="1">
      <c r="A15" s="147"/>
      <c r="B15" s="147"/>
      <c r="C15" s="159" t="s">
        <v>18</v>
      </c>
      <c r="D15" s="159" t="s">
        <v>18</v>
      </c>
      <c r="E15" s="11">
        <f>январь!D15</f>
        <v>-3627.7</v>
      </c>
      <c r="F15" s="11"/>
      <c r="G15" s="11"/>
      <c r="H15" s="145"/>
      <c r="I15" s="159" t="s">
        <v>18</v>
      </c>
      <c r="J15" s="159" t="s">
        <v>18</v>
      </c>
      <c r="K15" s="11">
        <f>январь!D15</f>
        <v>-3627.7</v>
      </c>
      <c r="L15" s="17"/>
      <c r="M15" s="11"/>
      <c r="N15" s="145"/>
      <c r="O15" s="145"/>
      <c r="P15" s="145"/>
      <c r="Q15" s="145"/>
      <c r="S15">
        <f t="shared" si="0"/>
        <v>0</v>
      </c>
    </row>
    <row r="16" spans="1:19" ht="12.75" customHeight="1">
      <c r="A16" s="147"/>
      <c r="B16" s="147"/>
      <c r="C16" s="159" t="s">
        <v>161</v>
      </c>
      <c r="D16" s="159"/>
      <c r="E16" s="11">
        <f>ноябрь!D14</f>
        <v>23863.56</v>
      </c>
      <c r="F16" s="11"/>
      <c r="G16" s="11"/>
      <c r="H16" s="145"/>
      <c r="I16" s="159" t="s">
        <v>162</v>
      </c>
      <c r="J16" s="159"/>
      <c r="K16" s="11">
        <f>ноябрь!D14</f>
        <v>23863.56</v>
      </c>
      <c r="L16" s="17"/>
      <c r="M16" s="11"/>
      <c r="N16" s="145"/>
      <c r="O16" s="145"/>
      <c r="P16" s="145"/>
      <c r="Q16" s="145"/>
      <c r="S16">
        <f t="shared" si="0"/>
        <v>0</v>
      </c>
    </row>
    <row r="17" spans="1:19" ht="12.75" customHeight="1">
      <c r="A17" s="146" t="s">
        <v>163</v>
      </c>
      <c r="B17" s="146"/>
      <c r="C17" s="145">
        <f>январь!C16+февраль!C16+март!C16+апрель!C16+май!C16+июнь!C16+июль!C16+август!C16+сентябрь!C16+октябрь!C16+ноябрь!C16+декабрь!C16</f>
        <v>238845.16350000002</v>
      </c>
      <c r="D17" s="145"/>
      <c r="E17" s="145"/>
      <c r="F17" s="145">
        <f>январь!E16+февраль!E16+март!E16+апрель!E16+май!E16+июнь!E16+июль!E16+август!E16+сентябрь!E16+октябрь!E16+ноябрь!E16+декабрь!E16</f>
        <v>170846.95</v>
      </c>
      <c r="G17" s="145"/>
      <c r="H17" s="145"/>
      <c r="I17" s="145">
        <f>январь!H16+февраль!H16+март!H16+апрель!H16+май!H16+июнь!H16+июль!H16+август!H16+сентябрь!H16+октябрь!H16+ноябрь!H16+декабрь!H16</f>
        <v>238845.16350000002</v>
      </c>
      <c r="J17" s="145"/>
      <c r="K17" s="145"/>
      <c r="L17" s="145">
        <f>январь!J16+февраль!J16+март!J16+апрель!J16+май!J16+июнь!J16+июль!J16+август!J16+сентябрь!J16+октябрь!J16+ноябрь!J16+декабрь!J16</f>
        <v>170846.95</v>
      </c>
      <c r="M17" s="145"/>
      <c r="N17" s="145"/>
      <c r="O17" s="145"/>
      <c r="P17" s="145"/>
      <c r="Q17" s="145"/>
      <c r="S17">
        <f t="shared" si="0"/>
        <v>0</v>
      </c>
    </row>
    <row r="18" spans="1:19" ht="12.75" customHeight="1">
      <c r="A18" s="147" t="s">
        <v>164</v>
      </c>
      <c r="B18" s="147"/>
      <c r="C18" s="158" t="s">
        <v>21</v>
      </c>
      <c r="D18" s="158"/>
      <c r="E18" s="11">
        <f>январь!D17+февраль!D17+март!D17+апрель!D17+май!D17+июнь!D17+июль!D17+август!D17+сентябрь!D17+октябрь!D17+ноябрь!D17+декабрь!D17</f>
        <v>120011.71</v>
      </c>
      <c r="F18" s="11" t="s">
        <v>13</v>
      </c>
      <c r="G18" s="11">
        <f>январь!F17+февраль!F17+март!F17+апрель!F17+май!F17+июнь!F17+июль!F17+август!F17+сентябрь!F17+октябрь!F17+ноябрь!F17+декабрь!F17</f>
        <v>68362</v>
      </c>
      <c r="H18" s="145">
        <f>январь!G17+февраль!G17+март!G17+апрель!G17+май!G17+июнь!G17+июль!G17+август!G17+сентябрь!G17+октябрь!G17+ноябрь!G17+декабрь!G17</f>
        <v>248655.65499999997</v>
      </c>
      <c r="I18" s="158" t="s">
        <v>21</v>
      </c>
      <c r="J18" s="158"/>
      <c r="K18" s="11">
        <f>январь!I17+февраль!I17+март!I17+апрель!I17+май!I17+июнь!I17+июль!I17+август!I17+сентябрь!I17+октябрь!I17+ноябрь!I17+декабрь!I17</f>
        <v>120180.45</v>
      </c>
      <c r="L18" s="11" t="s">
        <v>13</v>
      </c>
      <c r="M18" s="11">
        <f>январь!K17+февраль!K17+март!K17+апрель!K17+май!K17+июнь!K17+июль!K17+август!K17+сентябрь!K17+октябрь!K17+ноябрь!K17+декабрь!K17</f>
        <v>68232</v>
      </c>
      <c r="N18" s="145">
        <f>январь!L17+февраль!L17+март!L17+апрель!L17+май!L17+июнь!L17+июль!L17+август!L17+сентябрь!L17+октябрь!L17+ноябрь!L17+декабрь!L17</f>
        <v>251465.4469575</v>
      </c>
      <c r="O18" s="145">
        <f>январь!M17+февраль!M17+март!M17+апрель!M17+май!M17+июнь!M17+июль!M17+август!M17+сентябрь!M17+октябрь!M17+ноябрь!M17+декабрь!M17</f>
        <v>411.04195749998325</v>
      </c>
      <c r="P18" s="145">
        <f>январь!N17+февраль!N17+март!N17+апрель!N17+май!N17+июнь!N17+июль!N17+август!N17+сентябрь!N17+октябрь!N17+ноябрь!N17+декабрь!N17</f>
        <v>250636.57999999996</v>
      </c>
      <c r="Q18" s="145">
        <f>январь!O17+февраль!O17+март!O17+апрель!O17+май!O17+июнь!O17+июль!O17+август!O17+сентябрь!O17+октябрь!O17+ноябрь!O17+декабрь!O17-1.01</f>
        <v>827.8569574999685</v>
      </c>
      <c r="S18">
        <f t="shared" si="0"/>
        <v>168.7399999999907</v>
      </c>
    </row>
    <row r="19" spans="1:19" ht="23.25" customHeight="1">
      <c r="A19" s="147"/>
      <c r="B19" s="147"/>
      <c r="C19" s="162" t="s">
        <v>159</v>
      </c>
      <c r="D19" s="162"/>
      <c r="E19" s="11">
        <f>январь!D18+февраль!D18+март!D18+апрель!D18+май!D18+июнь!D18+июль!D18+август!D18+сентябрь!D18+октябрь!D18+ноябрь!D18+декабрь!D18</f>
        <v>36003.513</v>
      </c>
      <c r="F19" s="16" t="s">
        <v>14</v>
      </c>
      <c r="G19" s="11">
        <f>январь!F18+февраль!F18+март!F18+апрель!F18+май!F18+июнь!F18+июль!F18+август!F18+сентябрь!F18+октябрь!F18+ноябрь!F18+декабрь!F18</f>
        <v>135000</v>
      </c>
      <c r="H19" s="145"/>
      <c r="I19" s="162" t="s">
        <v>159</v>
      </c>
      <c r="J19" s="162"/>
      <c r="K19" s="11">
        <f>январь!I18+февраль!I18+март!I18+апрель!I18+май!I18+июнь!I18+июль!I18+август!I18+сентябрь!I18+октябрь!I18+ноябрь!I18+декабрь!I18</f>
        <v>36054.134999999995</v>
      </c>
      <c r="L19" s="16" t="s">
        <v>14</v>
      </c>
      <c r="M19" s="11">
        <f>январь!K18+февраль!K18+март!K18+апрель!K18+май!K18+июнь!K18+июль!K18+август!K18+сентябрь!K18+октябрь!K18+ноябрь!K18+декабрь!K18</f>
        <v>135000</v>
      </c>
      <c r="N19" s="145"/>
      <c r="O19" s="145"/>
      <c r="P19" s="145"/>
      <c r="Q19" s="145"/>
      <c r="S19">
        <f t="shared" si="0"/>
        <v>50.62199999999575</v>
      </c>
    </row>
    <row r="20" spans="1:19" ht="17.25" customHeight="1">
      <c r="A20" s="147"/>
      <c r="B20" s="147"/>
      <c r="C20" s="159" t="s">
        <v>160</v>
      </c>
      <c r="D20" s="159"/>
      <c r="E20" s="11">
        <f>январь!D19+февраль!D19+март!D19+апрель!D19+май!D19+июнь!D19+июль!D19+август!D19+сентябрь!D19+октябрь!D19+ноябрь!D19+декабрь!D19</f>
        <v>72822.04000000001</v>
      </c>
      <c r="F20" s="11" t="s">
        <v>58</v>
      </c>
      <c r="G20" s="11">
        <f>март!F19+май!F19+июнь!F19</f>
        <v>112969.81</v>
      </c>
      <c r="H20" s="145"/>
      <c r="I20" s="159" t="s">
        <v>165</v>
      </c>
      <c r="J20" s="159"/>
      <c r="K20" s="11">
        <f>январь!I19+февраль!I19+март!I19+апрель!I19+май!I19+июнь!I19+июль!I19+август!I19+сентябрь!I19+октябрь!I19+ноябрь!I19+декабрь!I19</f>
        <v>72829.3527</v>
      </c>
      <c r="L20" s="9" t="s">
        <v>100</v>
      </c>
      <c r="M20" s="11">
        <f>февраль!K19</f>
        <v>0</v>
      </c>
      <c r="N20" s="145"/>
      <c r="O20" s="145"/>
      <c r="P20" s="145"/>
      <c r="Q20" s="145"/>
      <c r="S20">
        <f t="shared" si="0"/>
        <v>7.312699999994948</v>
      </c>
    </row>
    <row r="21" spans="1:19" ht="30" customHeight="1">
      <c r="A21" s="147"/>
      <c r="B21" s="147"/>
      <c r="C21" s="159" t="s">
        <v>160</v>
      </c>
      <c r="D21" s="159"/>
      <c r="E21" s="11">
        <f>январь!D20+февраль!D20+март!D20+апрель!D20+май!D20+июнь!D20+июль!D20+август!D20+сентябрь!D20+октябрь!D20+ноябрь!D20+декабрь!D20</f>
        <v>15961.560000000001</v>
      </c>
      <c r="F21" s="16" t="s">
        <v>100</v>
      </c>
      <c r="G21" s="11">
        <f>февраль!F19</f>
        <v>2268.75</v>
      </c>
      <c r="H21" s="145"/>
      <c r="I21" s="159" t="s">
        <v>166</v>
      </c>
      <c r="J21" s="159"/>
      <c r="K21" s="11">
        <f>январь!I20+февраль!I20+март!I20+апрель!I20+май!I20+июнь!I20+июль!I20+август!I20+сентябрь!I20+октябрь!I20+ноябрь!I20+декабрь!I20</f>
        <v>15983.99985</v>
      </c>
      <c r="L21" s="16" t="s">
        <v>58</v>
      </c>
      <c r="M21" s="11">
        <f>март!K19+май!K19+июнь!K19</f>
        <v>112969.81</v>
      </c>
      <c r="N21" s="145"/>
      <c r="O21" s="145"/>
      <c r="P21" s="145"/>
      <c r="Q21" s="145"/>
      <c r="S21">
        <f t="shared" si="0"/>
        <v>22.43984999999884</v>
      </c>
    </row>
    <row r="22" spans="1:19" ht="12.75" customHeight="1">
      <c r="A22" s="147"/>
      <c r="B22" s="147"/>
      <c r="C22" s="159" t="s">
        <v>131</v>
      </c>
      <c r="D22" s="159"/>
      <c r="E22" s="11">
        <f>май!D21</f>
        <v>8000</v>
      </c>
      <c r="F22" s="11" t="s">
        <v>99</v>
      </c>
      <c r="G22" s="11">
        <f>июль!F19</f>
        <v>59560.99</v>
      </c>
      <c r="H22" s="145"/>
      <c r="I22" s="159" t="s">
        <v>131</v>
      </c>
      <c r="J22" s="159"/>
      <c r="K22" s="11">
        <f>май!I21</f>
        <v>8000</v>
      </c>
      <c r="L22" s="11" t="s">
        <v>99</v>
      </c>
      <c r="M22" s="11">
        <f>июль!K19</f>
        <v>59560.99</v>
      </c>
      <c r="N22" s="145"/>
      <c r="O22" s="145"/>
      <c r="P22" s="145"/>
      <c r="Q22" s="145"/>
      <c r="R22">
        <f>N18-P18</f>
        <v>828.8669575000531</v>
      </c>
      <c r="S22">
        <f t="shared" si="0"/>
        <v>0</v>
      </c>
    </row>
    <row r="23" spans="1:19" ht="18" customHeight="1">
      <c r="A23" s="147"/>
      <c r="B23" s="147"/>
      <c r="C23" s="159" t="s">
        <v>167</v>
      </c>
      <c r="D23" s="159"/>
      <c r="E23" s="11">
        <f>апрель!D21</f>
        <v>52227.58</v>
      </c>
      <c r="F23" s="11"/>
      <c r="G23" s="11"/>
      <c r="H23" s="145"/>
      <c r="I23" s="159" t="s">
        <v>69</v>
      </c>
      <c r="J23" s="159"/>
      <c r="K23" s="11">
        <f>апрель!I21</f>
        <v>52227.58</v>
      </c>
      <c r="L23" s="39"/>
      <c r="M23" s="11"/>
      <c r="N23" s="145"/>
      <c r="O23" s="145"/>
      <c r="P23" s="145"/>
      <c r="Q23" s="145"/>
      <c r="S23">
        <f t="shared" si="0"/>
        <v>0</v>
      </c>
    </row>
    <row r="24" spans="1:19" ht="21.75" customHeight="1">
      <c r="A24" s="147"/>
      <c r="B24" s="147"/>
      <c r="C24" s="159" t="s">
        <v>87</v>
      </c>
      <c r="D24" s="159"/>
      <c r="E24" s="11">
        <f>июнь!D21+июль!D21+август!D21</f>
        <v>85566</v>
      </c>
      <c r="F24" s="11"/>
      <c r="G24" s="11"/>
      <c r="H24" s="145"/>
      <c r="I24" s="159" t="s">
        <v>87</v>
      </c>
      <c r="J24" s="159"/>
      <c r="K24" s="11">
        <f>июнь!I21</f>
        <v>85566</v>
      </c>
      <c r="L24" s="17"/>
      <c r="M24" s="11"/>
      <c r="N24" s="145"/>
      <c r="O24" s="145"/>
      <c r="P24" s="145"/>
      <c r="Q24" s="145"/>
      <c r="S24">
        <f t="shared" si="0"/>
        <v>0</v>
      </c>
    </row>
    <row r="25" spans="1:19" ht="21.75" customHeight="1">
      <c r="A25" s="147"/>
      <c r="B25" s="147"/>
      <c r="C25" s="159" t="s">
        <v>16</v>
      </c>
      <c r="D25" s="159"/>
      <c r="E25" s="11">
        <f>январь!D21+февраль!D21+март!D21+апрель!D22+май!D22+июнь!D22+июль!D22+август!D22+сентябрь!D22+октябрь!D22+ноябрь!D22+декабрь!D22</f>
        <v>164319.23200000002</v>
      </c>
      <c r="F25" s="11"/>
      <c r="G25" s="11"/>
      <c r="H25" s="145"/>
      <c r="I25" s="159" t="s">
        <v>16</v>
      </c>
      <c r="J25" s="159"/>
      <c r="K25" s="11">
        <f>январь!I21+февраль!I21+март!I21+апрель!I22+май!I22+июнь!I22+июль!I22+август!I22+сентябрь!I22+октябрь!I22+ноябрь!I22+декабрь!I22</f>
        <v>164481.1594075</v>
      </c>
      <c r="L25" s="17"/>
      <c r="M25" s="11"/>
      <c r="N25" s="145"/>
      <c r="O25" s="145"/>
      <c r="P25" s="145"/>
      <c r="Q25" s="145"/>
      <c r="S25">
        <f t="shared" si="0"/>
        <v>161.92740749998484</v>
      </c>
    </row>
    <row r="26" spans="1:19" ht="12.75" customHeight="1">
      <c r="A26" s="147"/>
      <c r="B26" s="147"/>
      <c r="C26" s="159" t="s">
        <v>25</v>
      </c>
      <c r="D26" s="159"/>
      <c r="E26" s="11">
        <f>январь!D22</f>
        <v>3653.58</v>
      </c>
      <c r="F26" s="11"/>
      <c r="G26" s="11"/>
      <c r="H26" s="145"/>
      <c r="I26" s="159" t="s">
        <v>25</v>
      </c>
      <c r="J26" s="159"/>
      <c r="K26" s="11">
        <f>январь!I22</f>
        <v>3653.58</v>
      </c>
      <c r="L26" s="17"/>
      <c r="M26" s="11"/>
      <c r="N26" s="145"/>
      <c r="O26" s="145"/>
      <c r="P26" s="145"/>
      <c r="Q26" s="145"/>
      <c r="S26">
        <f t="shared" si="0"/>
        <v>0</v>
      </c>
    </row>
    <row r="27" spans="1:19" ht="18" customHeight="1">
      <c r="A27" s="147"/>
      <c r="B27" s="147"/>
      <c r="C27" s="159" t="s">
        <v>161</v>
      </c>
      <c r="D27" s="159"/>
      <c r="E27" s="11">
        <f>июль!D23</f>
        <v>68251.99</v>
      </c>
      <c r="F27" s="11"/>
      <c r="G27" s="11"/>
      <c r="H27" s="145"/>
      <c r="I27" s="159" t="s">
        <v>161</v>
      </c>
      <c r="J27" s="159"/>
      <c r="K27" s="11">
        <f>июль!I23</f>
        <v>68251.99</v>
      </c>
      <c r="L27" s="17"/>
      <c r="M27" s="11"/>
      <c r="N27" s="145"/>
      <c r="O27" s="145"/>
      <c r="P27" s="145"/>
      <c r="Q27" s="145"/>
      <c r="S27">
        <f t="shared" si="0"/>
        <v>0</v>
      </c>
    </row>
    <row r="28" spans="1:17" ht="12.75" customHeight="1">
      <c r="A28" s="146" t="s">
        <v>19</v>
      </c>
      <c r="B28" s="146"/>
      <c r="C28" s="145">
        <f>январь!C25+февраль!C25+март!C25+апрель!C26+май!C26+июнь!C26+июль!C26+август!C26+сентябрь!C26+октябрь!C26+ноябрь!C26+декабрь!C26</f>
        <v>626817.2050000001</v>
      </c>
      <c r="D28" s="145"/>
      <c r="E28" s="145"/>
      <c r="F28" s="145">
        <f>январь!E25+февраль!E25+март!E25+апрель!E26+май!E26+июнь!E26+июль!E26+август!E26+сентябрь!E26+октябрь!E26+ноябрь!E26+декабрь!E26</f>
        <v>378161.55</v>
      </c>
      <c r="G28" s="145"/>
      <c r="H28" s="145"/>
      <c r="I28" s="145">
        <f>январь!H25+февраль!H25+март!H25+апрель!H26+май!H26+июнь!H26+июль!H26+август!H26+сентябрь!H26+октябрь!H26+ноябрь!H26+декабрь!H26</f>
        <v>627228.2469574999</v>
      </c>
      <c r="J28" s="145" t="e">
        <f>#REF!+#REF!+#REF!+#REF!+#REF!+#REF!+#REF!+#REF!+#REF!+#REF!+#REF!++#REF!</f>
        <v>#REF!</v>
      </c>
      <c r="K28" s="145" t="e">
        <f>январь!I25+#REF!+#REF!+#REF!+#REF!+#REF!+#REF!+#REF!+#REF!+#REF!+#REF!++#REF!</f>
        <v>#REF!</v>
      </c>
      <c r="L28" s="145">
        <f>январь!J25+февраль!J25+март!J25+апрель!J26+май!J26+июнь!J26+июль!J26+август!J26+сентябрь!J26+октябрь!J26+ноябрь!J26+декабрь!J26</f>
        <v>375762.8</v>
      </c>
      <c r="M28" s="145"/>
      <c r="N28" s="145"/>
      <c r="O28" s="145"/>
      <c r="P28" s="145"/>
      <c r="Q28" s="145"/>
    </row>
    <row r="29" spans="1:19" ht="12.75" customHeight="1">
      <c r="A29" s="147" t="s">
        <v>168</v>
      </c>
      <c r="B29" s="147"/>
      <c r="C29" s="158" t="s">
        <v>21</v>
      </c>
      <c r="D29" s="158" t="s">
        <v>169</v>
      </c>
      <c r="E29" s="11">
        <f>январь!D26+февраль!D26+март!D26+апрель!D27+май!D27+июнь!D27+июль!D27+август!D27+сентябрь!D27+октябрь!D27+ноябрь!D27+декабрь!D27</f>
        <v>93346.33000000002</v>
      </c>
      <c r="F29" s="11" t="s">
        <v>13</v>
      </c>
      <c r="G29" s="11">
        <f>январь!F26+февраль!F26+март!F26+апрель!F27+май!F27+июнь!F27+июль!F27+август!F27+сентябрь!F27+октябрь!F27+ноябрь!F27+декабрь!F27</f>
        <v>33653</v>
      </c>
      <c r="H29" s="145">
        <f>январь!G26+февраль!G26+март!G26+апрель!G27+май!G27+июнь!G27+июль!G27+август!G27+сентябрь!G27+октябрь!G27+ноябрь!G27+декабрь!G27</f>
        <v>91091.83000000002</v>
      </c>
      <c r="I29" s="158" t="s">
        <v>21</v>
      </c>
      <c r="J29" s="158" t="s">
        <v>169</v>
      </c>
      <c r="K29" s="11">
        <f>январь!I26+февраль!I26+март!I26+апрель!I27+май!I27+июнь!I27+июль!I27+август!I27+сентябрь!I27+октябрь!I27+ноябрь!I27+декабрь!I27</f>
        <v>93346.33000000002</v>
      </c>
      <c r="L29" s="16" t="s">
        <v>13</v>
      </c>
      <c r="M29" s="44">
        <f>январь!K26+февраль!K26+март!K26+апрель!K27+май!K27+июнь!K27+июль!K27+август!K27+сентябрь!K27+октябрь!K27+ноябрь!K27+декабрь!K27</f>
        <v>33629</v>
      </c>
      <c r="N29" s="145">
        <f>январь!L26+февраль!L26+март!L26+апрель!L27+май!L27+июнь!L27+июль!L27+август!L27+сентябрь!L27+октябрь!L27+ноябрь!L27+декабрь!L27+0.01</f>
        <v>90929.03300000002</v>
      </c>
      <c r="O29" s="145">
        <f>январь!M26+февраль!M26+март!M26+апрель!M27+май!M27+июнь!M27+июль!M27+август!M27+сентябрь!M27+октябрь!M27+ноябрь!M27+декабрь!M27+0.01</f>
        <v>-186.79699999999616</v>
      </c>
      <c r="P29" s="145">
        <f>январь!N26+февраль!N26+март!N26+апрель!N27+май!N27+июнь!N27+июль!N27+август!N27+сентябрь!N27+октябрь!N27+ноябрь!N27+декабрь!N27</f>
        <v>91091.83</v>
      </c>
      <c r="Q29" s="145">
        <f>январь!O26+февраль!O26+март!O26+апрель!O27+май!O27+июнь!O27+июль!O27+август!O27+сентябрь!O27+октябрь!O27+ноябрь!O27+декабрь!O27+0.01</f>
        <v>-162.79699999998627</v>
      </c>
      <c r="S29">
        <f aca="true" t="shared" si="1" ref="S29:S34">K29-E29</f>
        <v>0</v>
      </c>
    </row>
    <row r="30" spans="1:19" ht="20.25" customHeight="1">
      <c r="A30" s="147"/>
      <c r="B30" s="147"/>
      <c r="C30" s="159" t="s">
        <v>27</v>
      </c>
      <c r="D30" s="159"/>
      <c r="E30" s="11">
        <f>январь!D27+февраль!D27+март!D27+апрель!D28+май!D28+июнь!D28+июль!D28+август!D28+сентябрь!D28+октябрь!D28+ноябрь!D28+декабрь!D28</f>
        <v>23270.29</v>
      </c>
      <c r="F30" s="16" t="s">
        <v>14</v>
      </c>
      <c r="G30" s="11">
        <f>январь!F27+февраль!F27+март!F27+апрель!F28+май!F28+июнь!F28+июль!F28+август!F28+сентябрь!F28+октябрь!F28+ноябрь!F28+декабрь!F28</f>
        <v>80000</v>
      </c>
      <c r="H30" s="145"/>
      <c r="I30" s="159" t="s">
        <v>27</v>
      </c>
      <c r="J30" s="159"/>
      <c r="K30" s="11">
        <f>январь!I27+февраль!I27+март!I27+апрель!I28+май!I28+июнь!I28+июль!I28+август!I28+сентябрь!I28+октябрь!I28+ноябрь!I28+декабрь!I28</f>
        <v>20478.29</v>
      </c>
      <c r="L30" s="16" t="s">
        <v>14</v>
      </c>
      <c r="M30" s="44">
        <f>январь!K27+февраль!K27+март!K27+апрель!K28+май!K28+июнь!K28+июль!K28+август!K28+сентябрь!K28+октябрь!K28+ноябрь!K28+декабрь!K28</f>
        <v>80000</v>
      </c>
      <c r="N30" s="145"/>
      <c r="O30" s="145"/>
      <c r="P30" s="145"/>
      <c r="Q30" s="145"/>
      <c r="S30">
        <f t="shared" si="1"/>
        <v>-2792</v>
      </c>
    </row>
    <row r="31" spans="1:19" ht="15" customHeight="1">
      <c r="A31" s="147"/>
      <c r="B31" s="147"/>
      <c r="C31" s="159" t="s">
        <v>170</v>
      </c>
      <c r="D31" s="159"/>
      <c r="E31" s="11">
        <f>март!D28+май!D29+ноябрь!D29</f>
        <v>23550</v>
      </c>
      <c r="F31" s="11" t="s">
        <v>58</v>
      </c>
      <c r="G31" s="11">
        <f>март!F28+май!F29+июнь!F29</f>
        <v>60448.6</v>
      </c>
      <c r="H31" s="145"/>
      <c r="I31" s="159" t="s">
        <v>170</v>
      </c>
      <c r="J31" s="159"/>
      <c r="K31" s="11">
        <f>март!I28+май!I29+ноябрь!I29</f>
        <v>20300</v>
      </c>
      <c r="L31" s="16" t="s">
        <v>58</v>
      </c>
      <c r="M31" s="44">
        <f>март!K28+май!K29+июнь!K29</f>
        <v>60448.6</v>
      </c>
      <c r="N31" s="145"/>
      <c r="O31" s="145"/>
      <c r="P31" s="145"/>
      <c r="Q31" s="145"/>
      <c r="S31">
        <f t="shared" si="1"/>
        <v>-3250</v>
      </c>
    </row>
    <row r="32" spans="1:19" ht="17.25" customHeight="1">
      <c r="A32" s="147"/>
      <c r="B32" s="147"/>
      <c r="C32" s="159" t="s">
        <v>87</v>
      </c>
      <c r="D32" s="159"/>
      <c r="E32" s="11">
        <f>июнь!D29</f>
        <v>46020</v>
      </c>
      <c r="F32" s="11" t="s">
        <v>171</v>
      </c>
      <c r="G32" s="11">
        <f>июль!F29</f>
        <v>32510.39</v>
      </c>
      <c r="H32" s="145"/>
      <c r="I32" s="159" t="s">
        <v>87</v>
      </c>
      <c r="J32" s="159"/>
      <c r="K32" s="11">
        <f>июнь!I29</f>
        <v>46020</v>
      </c>
      <c r="L32" s="16" t="s">
        <v>171</v>
      </c>
      <c r="M32" s="44">
        <f>июль!K29</f>
        <v>32510.39</v>
      </c>
      <c r="N32" s="145"/>
      <c r="O32" s="145"/>
      <c r="P32" s="145"/>
      <c r="Q32" s="145"/>
      <c r="R32">
        <f>N29-P29</f>
        <v>-162.79699999997683</v>
      </c>
      <c r="S32">
        <f t="shared" si="1"/>
        <v>0</v>
      </c>
    </row>
    <row r="33" spans="1:19" ht="19.5" customHeight="1">
      <c r="A33" s="147"/>
      <c r="B33" s="147"/>
      <c r="C33" s="159" t="s">
        <v>16</v>
      </c>
      <c r="D33" s="159"/>
      <c r="E33" s="11">
        <f>январь!D28+февраль!D28+март!D29+апрель!D30+май!D30+июнь!D30+июль!D29+август!D30+сентябрь!D30+октябрь!D30+ноябрь!D30+декабрь!D30</f>
        <v>81325.81</v>
      </c>
      <c r="F33" s="11" t="s">
        <v>131</v>
      </c>
      <c r="G33" s="11">
        <f>ноябрь!F29</f>
        <v>7177</v>
      </c>
      <c r="H33" s="145"/>
      <c r="I33" s="159" t="s">
        <v>16</v>
      </c>
      <c r="J33" s="159"/>
      <c r="K33" s="11">
        <f>январь!I28+февраль!I28+март!I29+апрель!I30+май!I30+июнь!I30+июль!I29+август!I30+сентябрь!I30+октябрь!I30+ноябрь!I30+декабрь!I30</f>
        <v>87181.00300000001</v>
      </c>
      <c r="L33" s="16" t="s">
        <v>131</v>
      </c>
      <c r="M33" s="44">
        <f>ноябрь!K29</f>
        <v>7177</v>
      </c>
      <c r="N33" s="145"/>
      <c r="O33" s="145"/>
      <c r="P33" s="145"/>
      <c r="Q33" s="145"/>
      <c r="S33">
        <f t="shared" si="1"/>
        <v>5855.193000000014</v>
      </c>
    </row>
    <row r="34" spans="1:19" ht="19.5" customHeight="1">
      <c r="A34" s="147"/>
      <c r="B34" s="147"/>
      <c r="C34" s="159" t="s">
        <v>172</v>
      </c>
      <c r="D34" s="159"/>
      <c r="E34" s="11">
        <f>июль!D30</f>
        <v>37368.39</v>
      </c>
      <c r="F34" s="11"/>
      <c r="G34" s="11"/>
      <c r="H34" s="145"/>
      <c r="I34" s="159" t="s">
        <v>172</v>
      </c>
      <c r="J34" s="159"/>
      <c r="K34" s="11">
        <f>июль!I30</f>
        <v>37368.39</v>
      </c>
      <c r="L34" s="39" t="s">
        <v>100</v>
      </c>
      <c r="M34" s="11">
        <f>июль!K30</f>
        <v>0</v>
      </c>
      <c r="N34" s="145"/>
      <c r="O34" s="145"/>
      <c r="P34" s="145"/>
      <c r="Q34" s="145"/>
      <c r="S34">
        <f t="shared" si="1"/>
        <v>0</v>
      </c>
    </row>
    <row r="35" spans="1:17" ht="12.75" customHeight="1">
      <c r="A35" s="146" t="s">
        <v>19</v>
      </c>
      <c r="B35" s="146"/>
      <c r="C35" s="145">
        <f>январь!C31+февраль!C31+март!C32+апрель!C33+май!C33+июнь!C33+июль!C33+август!C33+сентябрь!C33+октябрь!C33+ноябрь!C33+декабрь!C33</f>
        <v>304880.81999999995</v>
      </c>
      <c r="D35" s="145"/>
      <c r="E35" s="145"/>
      <c r="F35" s="145">
        <f>январь!E31+февраль!E31+март!E32+апрель!E33+май!E33+июнь!E33+июль!E33+август!E33+сентябрь!E33+октябрь!E33+ноябрь!E33+декабрь!E33</f>
        <v>213788.99</v>
      </c>
      <c r="G35" s="145"/>
      <c r="H35" s="145"/>
      <c r="I35" s="145">
        <f>январь!H31+февраль!H31+март!H32+апрель!H33+май!H33+июнь!H33+июль!H33+август!H33+сентябрь!H33+октябрь!H33+ноябрь!H33+декабрь!H33</f>
        <v>304694.013</v>
      </c>
      <c r="J35" s="145" t="e">
        <f>#REF!+#REF!+#REF!+#REF!+#REF!+#REF!+#REF!+#REF!+#REF!+#REF!+#REF!+#REF!</f>
        <v>#REF!</v>
      </c>
      <c r="K35" s="145" t="e">
        <f>январь!I31+#REF!+#REF!+#REF!+#REF!+#REF!+#REF!+#REF!+#REF!+#REF!+#REF!+#REF!</f>
        <v>#REF!</v>
      </c>
      <c r="L35" s="145">
        <f>январь!J31+февраль!J31+март!J32+апрель!J33+май!J33+июнь!J33+июль!J33+август!J33+сентябрь!J33+октябрь!J33+ноябрь!J33+декабрь!J33</f>
        <v>213764.99</v>
      </c>
      <c r="M35" s="145"/>
      <c r="N35" s="145"/>
      <c r="O35" s="145"/>
      <c r="P35" s="145"/>
      <c r="Q35" s="145"/>
    </row>
    <row r="36" spans="1:19" ht="12.75" customHeight="1">
      <c r="A36" s="147" t="s">
        <v>173</v>
      </c>
      <c r="B36" s="147"/>
      <c r="C36" s="10" t="s">
        <v>21</v>
      </c>
      <c r="D36" s="18"/>
      <c r="E36" s="11">
        <f>январь!D32+февраль!D32+март!D33+апрель!D34+май!D34+июнь!D34+июль!D34+август!D34+сентябрь!D34+октябрь!D34+ноябрь!D34+декабрь!D34</f>
        <v>153388.91</v>
      </c>
      <c r="F36" s="11" t="s">
        <v>13</v>
      </c>
      <c r="G36" s="11">
        <f>январь!F32+февраль!F32+март!F33+апрель!F34+май!F34+июнь!F34+июль!F34+август!F34+сентябрь!F34+октябрь!F34+ноябрь!F34+декабрь!F34</f>
        <v>50382</v>
      </c>
      <c r="H36" s="145">
        <f>январь!G32+февраль!G32+март!G33+апрель!G34+май!G34+июнь!G34+июль!G34+август!G34+сентябрь!G34+октябрь!G34+ноябрь!G34+декабрь!G34</f>
        <v>192842.58099999998</v>
      </c>
      <c r="I36" s="10" t="s">
        <v>21</v>
      </c>
      <c r="J36" s="18"/>
      <c r="K36" s="11">
        <f>январь!I32+февраль!I32+март!I33+апрель!I34+май!I34+июнь!I34+июль!I34+август!I34+сентябрь!I34+октябрь!I34+ноябрь!I34+декабрь!I34</f>
        <v>153388.91</v>
      </c>
      <c r="L36" s="17" t="s">
        <v>13</v>
      </c>
      <c r="M36" s="11">
        <f>январь!K32+февраль!K32+март!K33+апрель!K34+май!K34+июнь!K34+июль!K34+август!K34+сентябрь!K34+октябрь!K34+ноябрь!K34+декабрь!K34</f>
        <v>51333.03</v>
      </c>
      <c r="N36" s="145">
        <f>январь!L32+февраль!L32+март!L33+апрель!L34+май!L34+июнь!L34+июль!L34+август!L34+сентябрь!L34+октябрь!L34+ноябрь!L34+декабрь!L34</f>
        <v>199203.98799999998</v>
      </c>
      <c r="O36" s="145">
        <f>январь!M32+февраль!M32+март!M33+апрель!M34+май!M34+июнь!M34+июль!M34+август!M34+сентябрь!M34+октябрь!M34+ноябрь!M34+декабрь!M34-0.01</f>
        <v>7312.427000000012</v>
      </c>
      <c r="P36" s="145">
        <f>январь!N32+февраль!N32+март!N33+апрель!N34+май!N34+июнь!N34+июль!N34+август!N34+сентябрь!N34+октябрь!N34+ноябрь!N34+декабрь!N34</f>
        <v>192842.56000000003</v>
      </c>
      <c r="Q36" s="145">
        <f>январь!O32+февраль!O32+март!O33+апрель!O34+май!O34+июнь!O34+июль!O34+август!O34+сентябрь!O34+октябрь!O34+ноябрь!O34+декабрь!O34</f>
        <v>6361.427999999987</v>
      </c>
      <c r="S36">
        <f aca="true" t="shared" si="2" ref="S36:S44">K36-E36</f>
        <v>0</v>
      </c>
    </row>
    <row r="37" spans="1:19" ht="27" customHeight="1">
      <c r="A37" s="147"/>
      <c r="B37" s="147"/>
      <c r="C37" s="160" t="s">
        <v>29</v>
      </c>
      <c r="D37" s="160"/>
      <c r="E37" s="11">
        <f>январь!D33+февраль!D33+март!D34+апрель!D35+май!D35+июнь!D35+июль!D35+август!D35+сентябрь!D35+октябрь!D35+ноябрь!D35+декабрь!D35</f>
        <v>12782.359999999997</v>
      </c>
      <c r="F37" s="16" t="s">
        <v>14</v>
      </c>
      <c r="G37" s="11">
        <f>январь!F33+февраль!F33+март!F34+апрель!F35+май!F35+июнь!F35+июль!F35+август!F35+сентябрь!F35+октябрь!F35+ноябрь!F35+декабрь!F35</f>
        <v>90000</v>
      </c>
      <c r="H37" s="145"/>
      <c r="I37" s="160" t="s">
        <v>29</v>
      </c>
      <c r="J37" s="160"/>
      <c r="K37" s="11">
        <f>январь!I33+февраль!I33+март!I34+апрель!I35+май!I35+июнь!I35+июль!I35+август!I35+сентябрь!I35+октябрь!I35+ноябрь!I35+декабрь!I35</f>
        <v>12782.359999999997</v>
      </c>
      <c r="L37" s="16" t="s">
        <v>14</v>
      </c>
      <c r="M37" s="11">
        <f>январь!K33+февраль!K33+март!K34+апрель!K35+май!K35+июнь!K35+июль!K35+август!K35+сентябрь!K35+октябрь!K35+ноябрь!K35+декабрь!K35</f>
        <v>90000</v>
      </c>
      <c r="N37" s="145"/>
      <c r="O37" s="145"/>
      <c r="P37" s="145"/>
      <c r="Q37" s="145"/>
      <c r="S37">
        <f t="shared" si="2"/>
        <v>0</v>
      </c>
    </row>
    <row r="38" spans="1:19" ht="21" customHeight="1">
      <c r="A38" s="147"/>
      <c r="B38" s="147"/>
      <c r="C38" s="159" t="s">
        <v>170</v>
      </c>
      <c r="D38" s="159"/>
      <c r="E38" s="11">
        <f>февраль!D34+март!D35+май!D36+июнь!D36+сентябрь!D36+ноябрь!D36</f>
        <v>46800</v>
      </c>
      <c r="F38" s="11" t="s">
        <v>58</v>
      </c>
      <c r="G38" s="11">
        <f>июнь!F36</f>
        <v>50880</v>
      </c>
      <c r="H38" s="145"/>
      <c r="I38" s="159" t="s">
        <v>170</v>
      </c>
      <c r="J38" s="159"/>
      <c r="K38" s="11">
        <f>февраль!I34+март!I35+май!I36+июнь!I36+сентябрь!I36+ноябрь!I36</f>
        <v>40300</v>
      </c>
      <c r="L38" s="16" t="s">
        <v>58</v>
      </c>
      <c r="M38" s="44">
        <f>июнь!K36</f>
        <v>50880</v>
      </c>
      <c r="N38" s="145"/>
      <c r="O38" s="145"/>
      <c r="P38" s="145"/>
      <c r="Q38" s="145"/>
      <c r="S38">
        <f t="shared" si="2"/>
        <v>-6500</v>
      </c>
    </row>
    <row r="39" spans="1:19" ht="17.25" customHeight="1">
      <c r="A39" s="147"/>
      <c r="B39" s="147"/>
      <c r="C39" s="161" t="s">
        <v>141</v>
      </c>
      <c r="D39" s="161" t="s">
        <v>141</v>
      </c>
      <c r="E39" s="11">
        <f>декабрь!D36</f>
        <v>0</v>
      </c>
      <c r="F39" s="11" t="s">
        <v>171</v>
      </c>
      <c r="G39" s="11">
        <f>июль!F36</f>
        <v>39966.66</v>
      </c>
      <c r="H39" s="145"/>
      <c r="I39" s="161" t="s">
        <v>141</v>
      </c>
      <c r="J39" s="161" t="s">
        <v>141</v>
      </c>
      <c r="K39" s="11">
        <f>+декабрь!I36</f>
        <v>1322.32</v>
      </c>
      <c r="L39" s="16" t="s">
        <v>171</v>
      </c>
      <c r="M39" s="44">
        <f>июль!K36</f>
        <v>39966.66</v>
      </c>
      <c r="N39" s="145"/>
      <c r="O39" s="145"/>
      <c r="P39" s="145"/>
      <c r="Q39" s="145"/>
      <c r="S39">
        <f t="shared" si="2"/>
        <v>1322.32</v>
      </c>
    </row>
    <row r="40" spans="1:19" ht="15" customHeight="1">
      <c r="A40" s="147"/>
      <c r="B40" s="147"/>
      <c r="C40" s="158" t="s">
        <v>142</v>
      </c>
      <c r="D40" s="158" t="s">
        <v>142</v>
      </c>
      <c r="E40" s="11">
        <f>декабрь!D37</f>
        <v>0</v>
      </c>
      <c r="F40" s="11" t="s">
        <v>131</v>
      </c>
      <c r="G40" s="11">
        <f>ноябрь!F36</f>
        <v>14355</v>
      </c>
      <c r="H40" s="145"/>
      <c r="I40" s="158" t="s">
        <v>142</v>
      </c>
      <c r="J40" s="158" t="s">
        <v>142</v>
      </c>
      <c r="K40" s="11">
        <f>+декабрь!I37</f>
        <v>36.73</v>
      </c>
      <c r="L40" s="16" t="s">
        <v>131</v>
      </c>
      <c r="M40" s="44">
        <f>ноябрь!K36</f>
        <v>14355</v>
      </c>
      <c r="N40" s="145"/>
      <c r="O40" s="145"/>
      <c r="P40" s="145"/>
      <c r="Q40" s="145"/>
      <c r="R40">
        <f>N36-P36</f>
        <v>6361.427999999956</v>
      </c>
      <c r="S40">
        <f t="shared" si="2"/>
        <v>36.73</v>
      </c>
    </row>
    <row r="41" spans="1:19" ht="17.25" customHeight="1">
      <c r="A41" s="147"/>
      <c r="B41" s="147"/>
      <c r="C41" s="159" t="s">
        <v>69</v>
      </c>
      <c r="D41" s="159"/>
      <c r="E41" s="11">
        <f>апрель!D36</f>
        <v>5999.99</v>
      </c>
      <c r="F41" s="16"/>
      <c r="G41" s="11"/>
      <c r="H41" s="145"/>
      <c r="I41" s="159" t="s">
        <v>69</v>
      </c>
      <c r="J41" s="159"/>
      <c r="K41" s="11">
        <f>апрель!I36</f>
        <v>5999.99</v>
      </c>
      <c r="L41" s="39" t="s">
        <v>100</v>
      </c>
      <c r="M41" s="11">
        <f>июль!K37</f>
        <v>0</v>
      </c>
      <c r="N41" s="145"/>
      <c r="O41" s="145"/>
      <c r="P41" s="145"/>
      <c r="Q41" s="145"/>
      <c r="S41">
        <f t="shared" si="2"/>
        <v>0</v>
      </c>
    </row>
    <row r="42" spans="1:19" ht="18" customHeight="1">
      <c r="A42" s="147"/>
      <c r="B42" s="147"/>
      <c r="C42" s="159" t="s">
        <v>87</v>
      </c>
      <c r="D42" s="159"/>
      <c r="E42" s="11">
        <f>июнь!D37</f>
        <v>50880</v>
      </c>
      <c r="F42" s="16"/>
      <c r="G42" s="11"/>
      <c r="H42" s="145"/>
      <c r="I42" s="159" t="s">
        <v>87</v>
      </c>
      <c r="J42" s="159"/>
      <c r="K42" s="11">
        <f>июнь!I37</f>
        <v>50880</v>
      </c>
      <c r="L42" s="16"/>
      <c r="M42" s="11"/>
      <c r="N42" s="145"/>
      <c r="O42" s="145"/>
      <c r="P42" s="145"/>
      <c r="Q42" s="145"/>
      <c r="S42">
        <f t="shared" si="2"/>
        <v>0</v>
      </c>
    </row>
    <row r="43" spans="1:19" ht="18.75" customHeight="1">
      <c r="A43" s="147"/>
      <c r="B43" s="147"/>
      <c r="C43" s="159" t="s">
        <v>16</v>
      </c>
      <c r="D43" s="159"/>
      <c r="E43" s="11">
        <f>январь!D34+февраль!D35+март!D36+апрель!D37+май!D37+июнь!D38+июль!D36+август!D38+сентябрь!D37+октябрь!D37+ноябрь!D37+декабрь!D38</f>
        <v>122636.32099999998</v>
      </c>
      <c r="F43" s="11"/>
      <c r="G43" s="11"/>
      <c r="H43" s="145"/>
      <c r="I43" s="159" t="s">
        <v>16</v>
      </c>
      <c r="J43" s="159"/>
      <c r="K43" s="11">
        <f>январь!I34+февраль!I35+март!I36+апрель!I37+май!I37+июнь!I38+июль!I36+август!I38+сентябрь!I37+октябрь!I37+ноябрь!I37+декабрь!I38</f>
        <v>135089.70799999998</v>
      </c>
      <c r="L43" s="17"/>
      <c r="M43" s="11"/>
      <c r="N43" s="145"/>
      <c r="O43" s="145"/>
      <c r="P43" s="145"/>
      <c r="Q43" s="145"/>
      <c r="S43">
        <f t="shared" si="2"/>
        <v>12453.387000000002</v>
      </c>
    </row>
    <row r="44" spans="1:19" ht="12.75" customHeight="1">
      <c r="A44" s="147"/>
      <c r="B44" s="147"/>
      <c r="C44" s="159" t="s">
        <v>172</v>
      </c>
      <c r="D44" s="159"/>
      <c r="E44" s="11">
        <f>июль!D37</f>
        <v>45938.66</v>
      </c>
      <c r="F44" s="11"/>
      <c r="G44" s="11"/>
      <c r="H44" s="145"/>
      <c r="I44" s="159" t="s">
        <v>172</v>
      </c>
      <c r="J44" s="159"/>
      <c r="K44" s="11">
        <f>июль!I37</f>
        <v>45938.66</v>
      </c>
      <c r="L44" s="17"/>
      <c r="M44" s="11"/>
      <c r="N44" s="145"/>
      <c r="O44" s="145"/>
      <c r="P44" s="145"/>
      <c r="Q44" s="145"/>
      <c r="S44">
        <f t="shared" si="2"/>
        <v>0</v>
      </c>
    </row>
    <row r="45" spans="1:17" ht="7.5" customHeight="1" hidden="1">
      <c r="A45" s="147"/>
      <c r="B45" s="147"/>
      <c r="C45" s="159"/>
      <c r="D45" s="159"/>
      <c r="E45" s="11"/>
      <c r="F45" s="11"/>
      <c r="G45" s="11"/>
      <c r="H45" s="145"/>
      <c r="I45" s="159"/>
      <c r="J45" s="159"/>
      <c r="K45" s="11" t="e">
        <f>#REF!+#REF!+#REF!</f>
        <v>#REF!</v>
      </c>
      <c r="L45" s="17"/>
      <c r="M45" s="11"/>
      <c r="N45" s="145"/>
      <c r="O45" s="145"/>
      <c r="P45" s="145"/>
      <c r="Q45" s="145"/>
    </row>
    <row r="46" spans="1:19" ht="12.75" customHeight="1">
      <c r="A46" s="146" t="s">
        <v>19</v>
      </c>
      <c r="B46" s="146"/>
      <c r="C46" s="145">
        <f>январь!C35+февраль!C36+март!C37+апрель!C38+май!C38+июнь!C39+июль!C39+август!C39+сентябрь!C38+октябрь!C38+ноябрь!C38+декабрь!C39-0.02</f>
        <v>438426.2209999999</v>
      </c>
      <c r="D46" s="145"/>
      <c r="E46" s="145"/>
      <c r="F46" s="145">
        <f>январь!E35+февраль!E36+март!E37+апрель!E38+май!E38+июнь!E39+июль!E39+август!E39+сентябрь!E38+октябрь!E38+ноябрь!E38+декабрь!E39</f>
        <v>245583.66</v>
      </c>
      <c r="G46" s="145"/>
      <c r="H46" s="145"/>
      <c r="I46" s="145">
        <f>январь!H35+февраль!H36+март!H37+апрель!H38+май!H38+июнь!H39+июль!H39+август!H39+сентябрь!H38+октябрь!H38+ноябрь!H38+декабрь!H39</f>
        <v>445738.67799999996</v>
      </c>
      <c r="J46" s="145"/>
      <c r="K46" s="145"/>
      <c r="L46" s="145">
        <f>январь!J35+февраль!J36+март!J37+апрель!J38+май!J38+июнь!J39+июль!J39+август!J39+сентябрь!J38+октябрь!J38+ноябрь!J38+декабрь!J39</f>
        <v>246534.69</v>
      </c>
      <c r="M46" s="145"/>
      <c r="N46" s="145"/>
      <c r="O46" s="145"/>
      <c r="P46" s="145"/>
      <c r="Q46" s="145"/>
      <c r="S46">
        <f aca="true" t="shared" si="3" ref="S46:S55">K46-E46</f>
        <v>0</v>
      </c>
    </row>
    <row r="47" spans="1:19" ht="15.75" customHeight="1">
      <c r="A47" s="154" t="s">
        <v>107</v>
      </c>
      <c r="B47" s="154"/>
      <c r="C47" s="158" t="s">
        <v>21</v>
      </c>
      <c r="D47" s="158"/>
      <c r="E47" s="11">
        <f>июнь!D40+июль!D40+август!D40+ноябрь!D39+декабрь!D40</f>
        <v>12108.220000000001</v>
      </c>
      <c r="F47" s="11" t="s">
        <v>13</v>
      </c>
      <c r="G47" s="11">
        <f>июнь!F40+июль!F40+август!F40+ноябрь!F39+декабрь!F40</f>
        <v>3327</v>
      </c>
      <c r="H47" s="145">
        <f>июнь!G40+июль!G40+август!G40+ноябрь!G39+декабрь!G40</f>
        <v>22267.51</v>
      </c>
      <c r="I47" s="158" t="s">
        <v>21</v>
      </c>
      <c r="J47" s="158"/>
      <c r="K47" s="11">
        <f>июнь!I40+июль!I40+август!I40+ноябрь!I39+декабрь!I40</f>
        <v>12108.220000000001</v>
      </c>
      <c r="L47" s="11" t="s">
        <v>13</v>
      </c>
      <c r="M47" s="11">
        <f>июнь!K40+июль!K40+август!K40+ноябрь!K39+декабрь!K40</f>
        <v>3322</v>
      </c>
      <c r="N47" s="145">
        <f>июнь!L40+июль!L40+август!L40+ноябрь!L39+декабрь!L40</f>
        <v>22232.629999999997</v>
      </c>
      <c r="O47" s="145">
        <f>июнь!M40+июль!M40+август!M40+ноябрь!M39+декабрь!M40</f>
        <v>-39.8799999999992</v>
      </c>
      <c r="P47" s="145">
        <f>июнь!N40+июль!N40+август!N40+ноябрь!N39+декабрь!N40</f>
        <v>22267.51</v>
      </c>
      <c r="Q47" s="145">
        <f>июнь!O40+июль!O40+август!O40+ноябрь!O39+декабрь!O40</f>
        <v>-34.879999999999654</v>
      </c>
      <c r="S47">
        <f t="shared" si="3"/>
        <v>0</v>
      </c>
    </row>
    <row r="48" spans="1:19" ht="16.5" customHeight="1">
      <c r="A48" s="154"/>
      <c r="B48" s="154"/>
      <c r="C48" s="159" t="s">
        <v>27</v>
      </c>
      <c r="D48" s="159"/>
      <c r="E48" s="11">
        <f>июнь!D41+июль!D41+август!D41+ноябрь!D40+декабрь!D41</f>
        <v>3404.7900000000004</v>
      </c>
      <c r="F48" s="11"/>
      <c r="G48" s="11"/>
      <c r="H48" s="145"/>
      <c r="I48" s="159" t="s">
        <v>27</v>
      </c>
      <c r="J48" s="159"/>
      <c r="K48" s="11">
        <f>июнь!I41+июль!I41+август!I41+ноябрь!I40+декабрь!I41</f>
        <v>3380.6200000000003</v>
      </c>
      <c r="L48" s="12"/>
      <c r="M48" s="11"/>
      <c r="N48" s="145"/>
      <c r="O48" s="145"/>
      <c r="P48" s="145"/>
      <c r="Q48" s="145"/>
      <c r="R48">
        <f>N47-P47</f>
        <v>-34.88000000000102</v>
      </c>
      <c r="S48">
        <f t="shared" si="3"/>
        <v>-24.170000000000073</v>
      </c>
    </row>
    <row r="49" spans="1:19" ht="17.25" customHeight="1">
      <c r="A49" s="154"/>
      <c r="B49" s="154"/>
      <c r="C49" s="159" t="s">
        <v>16</v>
      </c>
      <c r="D49" s="159"/>
      <c r="E49" s="11">
        <f>июнь!D42+июль!D42+август!D42+ноябрь!D41+декабрь!D42</f>
        <v>10081.5</v>
      </c>
      <c r="F49" s="11"/>
      <c r="G49" s="11"/>
      <c r="H49" s="145"/>
      <c r="I49" s="159" t="s">
        <v>16</v>
      </c>
      <c r="J49" s="159"/>
      <c r="K49" s="11">
        <f>июнь!I42+июль!I42+август!I42+ноябрь!I41+декабрь!I42</f>
        <v>10065.789999999999</v>
      </c>
      <c r="L49" s="12"/>
      <c r="M49" s="11"/>
      <c r="N49" s="145"/>
      <c r="O49" s="145"/>
      <c r="P49" s="145"/>
      <c r="Q49" s="145"/>
      <c r="S49">
        <f t="shared" si="3"/>
        <v>-15.710000000000946</v>
      </c>
    </row>
    <row r="50" spans="1:19" ht="12.75" customHeight="1">
      <c r="A50" s="146" t="s">
        <v>19</v>
      </c>
      <c r="B50" s="146"/>
      <c r="C50" s="145">
        <f>июнь!C43+июль!C43+август!C43+ноябрь!C43+декабрь!C44</f>
        <v>25594.51</v>
      </c>
      <c r="D50" s="145"/>
      <c r="E50" s="145"/>
      <c r="F50" s="145">
        <f>июнь!E43+июль!E43+август!E43+ноябрь!E43+декабрь!E44</f>
        <v>3327</v>
      </c>
      <c r="G50" s="145"/>
      <c r="H50" s="145"/>
      <c r="I50" s="145">
        <f>июнь!H43+июль!H43+август!H43+ноябрь!H43+декабрь!H44</f>
        <v>25554.629999999997</v>
      </c>
      <c r="J50" s="145"/>
      <c r="K50" s="145"/>
      <c r="L50" s="145">
        <f>июнь!J43+июль!J43+август!J43+ноябрь!J43+декабрь!J44</f>
        <v>3322</v>
      </c>
      <c r="M50" s="145"/>
      <c r="N50" s="145"/>
      <c r="O50" s="145"/>
      <c r="P50" s="145"/>
      <c r="Q50" s="145"/>
      <c r="S50">
        <f t="shared" si="3"/>
        <v>0</v>
      </c>
    </row>
    <row r="51" spans="1:19" ht="12.75" customHeight="1">
      <c r="A51" s="154" t="s">
        <v>174</v>
      </c>
      <c r="B51" s="154"/>
      <c r="C51" s="158" t="s">
        <v>21</v>
      </c>
      <c r="D51" s="158" t="str">
        <f>декабрь!C45</f>
        <v>Оклад по штатному расписанию</v>
      </c>
      <c r="E51" s="11">
        <f>декабрь!D45</f>
        <v>2644.64</v>
      </c>
      <c r="F51" s="11" t="s">
        <v>13</v>
      </c>
      <c r="G51" s="11">
        <f>декабрь!F45</f>
        <v>879</v>
      </c>
      <c r="H51" s="145">
        <f>декабрь!G45</f>
        <v>5884.66</v>
      </c>
      <c r="I51" s="158" t="s">
        <v>21</v>
      </c>
      <c r="J51" s="158"/>
      <c r="K51" s="11">
        <f>декабрь!I45</f>
        <v>2644.64</v>
      </c>
      <c r="L51" s="11" t="s">
        <v>13</v>
      </c>
      <c r="M51" s="11">
        <f>декабрь!K45</f>
        <v>879</v>
      </c>
      <c r="N51" s="145">
        <f>декабрь!L45</f>
        <v>5884.66</v>
      </c>
      <c r="O51" s="145">
        <f>декабрь!M45</f>
        <v>0</v>
      </c>
      <c r="P51" s="145">
        <f>декабрь!N45</f>
        <v>5884.66</v>
      </c>
      <c r="Q51" s="145">
        <f>декабрь!O45</f>
        <v>0</v>
      </c>
      <c r="S51">
        <f t="shared" si="3"/>
        <v>0</v>
      </c>
    </row>
    <row r="52" spans="1:19" ht="20.25" customHeight="1">
      <c r="A52" s="154"/>
      <c r="B52" s="154"/>
      <c r="C52" s="159" t="s">
        <v>145</v>
      </c>
      <c r="D52" s="159"/>
      <c r="E52" s="11">
        <f>декабрь!D46</f>
        <v>1454.55</v>
      </c>
      <c r="F52" s="12"/>
      <c r="G52" s="12"/>
      <c r="H52" s="145"/>
      <c r="I52" s="159" t="s">
        <v>145</v>
      </c>
      <c r="J52" s="159"/>
      <c r="K52" s="11">
        <f>декабрь!I46</f>
        <v>1454.55</v>
      </c>
      <c r="L52" s="12"/>
      <c r="M52" s="12"/>
      <c r="N52" s="145"/>
      <c r="O52" s="145"/>
      <c r="P52" s="145"/>
      <c r="Q52" s="145"/>
      <c r="R52">
        <f>N51-P51</f>
        <v>0</v>
      </c>
      <c r="S52">
        <f t="shared" si="3"/>
        <v>0</v>
      </c>
    </row>
    <row r="53" spans="1:19" ht="19.5" customHeight="1">
      <c r="A53" s="154"/>
      <c r="B53" s="154"/>
      <c r="C53" s="159" t="s">
        <v>16</v>
      </c>
      <c r="D53" s="159"/>
      <c r="E53" s="11">
        <f>декабрь!D47</f>
        <v>2664.47</v>
      </c>
      <c r="F53" s="12"/>
      <c r="G53" s="12"/>
      <c r="H53" s="145"/>
      <c r="I53" s="159" t="s">
        <v>16</v>
      </c>
      <c r="J53" s="159"/>
      <c r="K53" s="11">
        <f>декабрь!I47</f>
        <v>2664.47</v>
      </c>
      <c r="L53" s="12"/>
      <c r="M53" s="12"/>
      <c r="N53" s="145"/>
      <c r="O53" s="145"/>
      <c r="P53" s="145"/>
      <c r="Q53" s="145"/>
      <c r="S53">
        <f t="shared" si="3"/>
        <v>0</v>
      </c>
    </row>
    <row r="54" spans="1:19" ht="12.75" customHeight="1">
      <c r="A54" s="146" t="s">
        <v>19</v>
      </c>
      <c r="B54" s="146"/>
      <c r="C54" s="145">
        <f>декабрь!C49</f>
        <v>6763.66</v>
      </c>
      <c r="D54" s="145"/>
      <c r="E54" s="145"/>
      <c r="F54" s="145">
        <f>декабрь!E49</f>
        <v>879</v>
      </c>
      <c r="G54" s="145"/>
      <c r="H54" s="145"/>
      <c r="I54" s="145">
        <f>декабрь!H49</f>
        <v>6763.66</v>
      </c>
      <c r="J54" s="145"/>
      <c r="K54" s="145"/>
      <c r="L54" s="145">
        <f>декабрь!J49</f>
        <v>879</v>
      </c>
      <c r="M54" s="145"/>
      <c r="N54" s="145"/>
      <c r="O54" s="145"/>
      <c r="P54" s="145"/>
      <c r="Q54" s="145"/>
      <c r="S54">
        <f t="shared" si="3"/>
        <v>0</v>
      </c>
    </row>
    <row r="55" spans="1:19" ht="39" customHeight="1">
      <c r="A55" s="144" t="s">
        <v>175</v>
      </c>
      <c r="B55" s="144"/>
      <c r="C55" s="145">
        <f>январь!C36+февраль!C37+март!C38+апрель!C39+май!C39+июнь!C44+июль!C44+август!C44+сентябрь!C39+октябрь!C39+ноябрь!C44+декабрь!C50</f>
        <v>1641327.5995</v>
      </c>
      <c r="D55" s="145"/>
      <c r="E55" s="145"/>
      <c r="F55" s="145">
        <f>январь!E36+февраль!E37+март!E38+апрель!E39+май!E39+июнь!E44+июль!E44+август!E44+сентябрь!E39+октябрь!E39+ноябрь!E44+декабрь!E50</f>
        <v>1012587.1499999999</v>
      </c>
      <c r="G55" s="145"/>
      <c r="H55" s="12">
        <f>январь!G36+февраль!G37+март!G38+апрель!G39+май!G39+июнь!G44+июль!G44+август!G44+сентябрь!G39+октябрь!G39+ноябрь!G44+декабрь!G50</f>
        <v>628740.4495</v>
      </c>
      <c r="I55" s="145">
        <f>январь!H36+февраль!H37+март!H38+апрель!H39+май!H39+июнь!H44+июль!H44+август!H44+сентябрь!H39+октябрь!H39+ноябрь!H44+декабрь!H50</f>
        <v>1648824.3914575</v>
      </c>
      <c r="J55" s="145"/>
      <c r="K55" s="145"/>
      <c r="L55" s="145">
        <f>январь!J36+февраль!J37+март!J38+апрель!J39+май!J39+июнь!J44+июль!J44+август!J44+сентябрь!J39+октябрь!J39+ноябрь!J44+декабрь!J50</f>
        <v>1011110.4299999999</v>
      </c>
      <c r="M55" s="145"/>
      <c r="N55" s="12">
        <f>январь!L36+февраль!L37+март!L38+апрель!L39+май!L39+июнь!L44+июль!L44+август!L44+сентябрь!L39+октябрь!L39+ноябрь!L44+декабрь!L50</f>
        <v>637713.9614575</v>
      </c>
      <c r="O55" s="12">
        <f>январь!M36+февраль!M37+март!M38+апрель!M39+май!M39+июнь!M44+июль!M44+август!M44+сентябрь!M39+октябрь!M39+ноябрь!M44+декабрь!M50</f>
        <v>7496.7919575000005</v>
      </c>
      <c r="P55" s="12">
        <f>январь!N36+февраль!N37+март!N38+апрель!N39+май!N39+июнь!N44+июль!N44+август!N44+сентябрь!N39+октябрь!N39+ноябрь!N44+декабрь!N50</f>
        <v>633867.06</v>
      </c>
      <c r="Q55" s="12">
        <f>январь!O36+февраль!O37+март!O38+апрель!O39+май!O39+июнь!O44+июль!O44+август!O44+сентябрь!O39+октябрь!O39+ноябрь!O44+декабрь!O50</f>
        <v>7026.591457499977</v>
      </c>
      <c r="S55">
        <f t="shared" si="3"/>
        <v>0</v>
      </c>
    </row>
    <row r="56" spans="4:17" ht="15">
      <c r="D56" s="45">
        <f>C17+C28+C35+C46+C50+C54</f>
        <v>1641327.5795</v>
      </c>
      <c r="F56" s="155">
        <f>F17+F28+F35+F46+F50+F54</f>
        <v>1012587.15</v>
      </c>
      <c r="G56" s="155"/>
      <c r="J56" s="45">
        <f>I17+I28+I35+I46+I50+I54</f>
        <v>1648824.3914574997</v>
      </c>
      <c r="L56" s="155">
        <f>L17+L28+L35+L46+L50+L54</f>
        <v>1011110.4299999999</v>
      </c>
      <c r="M56" s="155"/>
      <c r="Q56" s="47"/>
    </row>
    <row r="57" spans="1:15" ht="15">
      <c r="A57" s="48"/>
      <c r="B57" s="49"/>
      <c r="C57" s="49"/>
      <c r="D57" s="49"/>
      <c r="E57" s="27"/>
      <c r="F57" s="50"/>
      <c r="G57" s="50"/>
      <c r="O57" s="46"/>
    </row>
    <row r="58" spans="1:15" ht="15">
      <c r="A58" s="48"/>
      <c r="B58" s="49"/>
      <c r="C58" s="49"/>
      <c r="D58" s="49"/>
      <c r="E58" s="27"/>
      <c r="F58" s="50"/>
      <c r="G58" s="50"/>
      <c r="J58" s="45">
        <f>I28-K26+I35+I46+I50+I54</f>
        <v>1406325.6479574998</v>
      </c>
      <c r="O58" s="46"/>
    </row>
    <row r="59" spans="1:15" ht="15">
      <c r="A59" s="48"/>
      <c r="B59" s="49"/>
      <c r="C59" s="49"/>
      <c r="D59" s="49"/>
      <c r="E59" s="27"/>
      <c r="F59" s="50"/>
      <c r="G59" s="50"/>
      <c r="J59" s="45">
        <f>J58-K24-K32-K42</f>
        <v>1223859.6479574998</v>
      </c>
      <c r="O59" s="46"/>
    </row>
    <row r="60" spans="1:16" ht="15">
      <c r="A60" s="48"/>
      <c r="B60" s="49"/>
      <c r="C60" s="49"/>
      <c r="D60" s="49"/>
      <c r="E60" s="27"/>
      <c r="F60" s="50"/>
      <c r="G60" s="50"/>
      <c r="L60" t="s">
        <v>176</v>
      </c>
      <c r="M60">
        <f>M10+M13+M19+M22+M30+M32+M33+M37+M39+M40+P55</f>
        <v>1188198.6600000001</v>
      </c>
      <c r="O60" s="46">
        <f>январь!J40+февраль!J41+март!J41+апрель!J42+май!J42+июнь!J47+июль!J47+август!I47+сентябрь!J42+октябрь!J42+ноябрь!J47+декабрь!J53</f>
        <v>1188198.6600000001</v>
      </c>
      <c r="P60">
        <f>O60-M60</f>
        <v>0</v>
      </c>
    </row>
    <row r="61" spans="1:15" ht="15">
      <c r="A61" s="48"/>
      <c r="B61" s="49"/>
      <c r="C61" s="49"/>
      <c r="D61" s="49">
        <f>C55-E42-E32-E24</f>
        <v>1458861.5995</v>
      </c>
      <c r="E61" s="27"/>
      <c r="F61" s="156">
        <v>265186.99</v>
      </c>
      <c r="G61" s="156"/>
      <c r="L61" t="s">
        <v>58</v>
      </c>
      <c r="M61">
        <f>M11+M21+M31+M38</f>
        <v>265186.99</v>
      </c>
      <c r="O61" s="46"/>
    </row>
    <row r="62" spans="1:15" ht="15">
      <c r="A62" s="48"/>
      <c r="B62" s="49"/>
      <c r="C62" s="49"/>
      <c r="D62" s="49"/>
      <c r="E62" s="49"/>
      <c r="F62" s="51"/>
      <c r="G62" s="51"/>
      <c r="O62" s="46"/>
    </row>
    <row r="63" ht="15">
      <c r="O63" s="46"/>
    </row>
    <row r="64" spans="1:8" ht="24">
      <c r="A64" s="29" t="s">
        <v>41</v>
      </c>
      <c r="B64" s="23" t="s">
        <v>42</v>
      </c>
      <c r="C64" s="23" t="s">
        <v>43</v>
      </c>
      <c r="D64" s="23" t="s">
        <v>44</v>
      </c>
      <c r="E64" s="23" t="s">
        <v>34</v>
      </c>
      <c r="F64" s="52" t="s">
        <v>177</v>
      </c>
      <c r="G64" t="s">
        <v>178</v>
      </c>
      <c r="H64" t="s">
        <v>179</v>
      </c>
    </row>
    <row r="65" spans="1:8" ht="15">
      <c r="A65" s="53">
        <v>111</v>
      </c>
      <c r="B65" s="22" t="s">
        <v>13</v>
      </c>
      <c r="C65" s="22">
        <f>январь!C47+февраль!C48+март!C49+апрель!C50+май!C50+июнь!C55+июль!C55+август!C55+сентябрь!C50+октябрь!C50+ноябрь!C55+декабрь!C61</f>
        <v>187655</v>
      </c>
      <c r="D65" s="22">
        <f>январь!D47+февраль!D48+март!D49+апрель!D50+май!D50+июнь!D55+июль!D55+август!D55+сентябрь!D50+октябрь!D50+ноябрь!D55+декабрь!D61</f>
        <v>188447.03</v>
      </c>
      <c r="E65" s="22">
        <f aca="true" t="shared" si="4" ref="E65:E72">D65-C65</f>
        <v>792.0299999999988</v>
      </c>
      <c r="F65" s="54">
        <v>197453</v>
      </c>
      <c r="G65" s="55">
        <f>C65-F65</f>
        <v>-9798</v>
      </c>
      <c r="H65" s="55">
        <f>D65-F65</f>
        <v>-9005.970000000001</v>
      </c>
    </row>
    <row r="66" spans="1:8" ht="15">
      <c r="A66" s="157" t="s">
        <v>39</v>
      </c>
      <c r="B66" s="157"/>
      <c r="C66" s="29">
        <f>SUM(C65:C65)</f>
        <v>187655</v>
      </c>
      <c r="D66" s="29">
        <f>SUM(D65:D65)</f>
        <v>188447.03</v>
      </c>
      <c r="E66" s="29">
        <f t="shared" si="4"/>
        <v>792.0299999999988</v>
      </c>
      <c r="F66" s="56">
        <f>F65</f>
        <v>197453</v>
      </c>
      <c r="G66" s="55"/>
      <c r="H66" s="55"/>
    </row>
    <row r="67" spans="1:8" ht="15">
      <c r="A67" s="53">
        <v>119</v>
      </c>
      <c r="B67" s="30">
        <v>0.22</v>
      </c>
      <c r="C67" s="22">
        <f>январь!C49+февраль!C50+март!C51+апрель!C52+май!C52+июнь!C57+июль!C57+август!C57+сентябрь!C52+октябрь!C52+ноябрь!C57+декабрь!C63</f>
        <v>363770.99999999994</v>
      </c>
      <c r="D67" s="22">
        <f>январь!D49+февраль!D50+март!D51+апрель!D52+май!D52+июнь!D57+июль!D57+август!D57+сентябрь!D52+октябрь!D52+ноябрь!D57+декабрь!D63</f>
        <v>360929.92792065</v>
      </c>
      <c r="E67" s="22">
        <f t="shared" si="4"/>
        <v>-2841.0720793499495</v>
      </c>
      <c r="F67" s="54">
        <v>363771.01</v>
      </c>
      <c r="G67" s="55">
        <f>C67-F67</f>
        <v>-0.010000000067520887</v>
      </c>
      <c r="H67" s="55">
        <f>D67-F67</f>
        <v>-2841.082079350017</v>
      </c>
    </row>
    <row r="68" spans="1:9" ht="15">
      <c r="A68" s="53">
        <v>119</v>
      </c>
      <c r="B68" s="30">
        <v>0.029</v>
      </c>
      <c r="C68" s="22">
        <f>январь!C50+февраль!C51+март!C52+апрель!C53+май!C53+июнь!C58+июль!C58+август!C58+сентябрь!C53+октябрь!C53+ноябрь!C58+декабрь!C64</f>
        <v>40508.770000000004</v>
      </c>
      <c r="D68" s="22">
        <f>январь!D50+февраль!D51+март!D52+апрель!D53+май!D53+июнь!D58+июль!D58+август!D58+сентябрь!D53+октябрь!D53+ноябрь!D58+декабрь!D64</f>
        <v>47577.12686226749</v>
      </c>
      <c r="E68" s="22">
        <f t="shared" si="4"/>
        <v>7068.356862267487</v>
      </c>
      <c r="F68" s="57">
        <v>40097.5</v>
      </c>
      <c r="G68" s="55">
        <f>C68-F68</f>
        <v>411.2700000000041</v>
      </c>
      <c r="H68" s="55">
        <f>D68-F68</f>
        <v>7479.626862267491</v>
      </c>
      <c r="I68" s="58"/>
    </row>
    <row r="69" spans="1:9" ht="15">
      <c r="A69" s="53">
        <v>119</v>
      </c>
      <c r="B69" s="30">
        <v>0.051</v>
      </c>
      <c r="C69" s="22">
        <f>январь!C51+февраль!C52+март!C53+апрель!C54+май!C54+июнь!C59+июль!C59+август!C59+сентябрь!C54+октябрь!C54+ноябрь!C59+декабрь!C65</f>
        <v>88933.03</v>
      </c>
      <c r="D69" s="22">
        <f>январь!D51+февраль!D52+март!D53+апрель!D54+май!D54+июнь!D59+июль!D59+август!D59+сентябрь!D54+октябрь!D54+ноябрь!D59+декабрь!D65</f>
        <v>83670.1196543325</v>
      </c>
      <c r="E69" s="22">
        <f t="shared" si="4"/>
        <v>-5262.910345667493</v>
      </c>
      <c r="F69" s="54">
        <v>88933.03</v>
      </c>
      <c r="G69" s="55">
        <f>C69-F69</f>
        <v>0</v>
      </c>
      <c r="H69" s="55">
        <f>D69-F69</f>
        <v>-5262.910345667493</v>
      </c>
      <c r="I69" s="58"/>
    </row>
    <row r="70" spans="1:9" ht="15">
      <c r="A70" s="53">
        <v>119</v>
      </c>
      <c r="B70" s="30">
        <v>0.002</v>
      </c>
      <c r="C70" s="22">
        <f>январь!C52+февраль!C53+март!C54+апрель!C55+май!C55+июнь!C60+июль!C60+август!C60+сентябрь!C55+октябрь!C55+ноябрь!C60+декабрь!C66</f>
        <v>4205.41</v>
      </c>
      <c r="D70" s="22">
        <f>январь!D52+февраль!D53+март!D54+апрель!D55+май!D55+июнь!D60+июль!D60+август!D60+сентябрь!D55+октябрь!D55+ноябрь!D60+декабрь!D66</f>
        <v>3281.1811629150006</v>
      </c>
      <c r="E70" s="22">
        <f t="shared" si="4"/>
        <v>-924.2288370849992</v>
      </c>
      <c r="F70" s="57">
        <v>4616.68</v>
      </c>
      <c r="G70" s="55">
        <f>C70-F70</f>
        <v>-411.27000000000044</v>
      </c>
      <c r="H70" s="55">
        <f>D70-F70</f>
        <v>-1335.4988370849996</v>
      </c>
      <c r="I70" s="58"/>
    </row>
    <row r="71" spans="1:9" ht="15">
      <c r="A71" s="143" t="s">
        <v>39</v>
      </c>
      <c r="B71" s="143"/>
      <c r="C71" s="32">
        <f>SUM(C67:C70)</f>
        <v>497418.2099999999</v>
      </c>
      <c r="D71" s="32">
        <f>SUM(D67:D70)</f>
        <v>495458.355600165</v>
      </c>
      <c r="E71" s="22">
        <f t="shared" si="4"/>
        <v>-1959.854399834876</v>
      </c>
      <c r="F71" s="59">
        <f>SUM(F67:F70)</f>
        <v>497418.22000000003</v>
      </c>
      <c r="G71" s="55">
        <f>C71-F71</f>
        <v>-0.010000000125728548</v>
      </c>
      <c r="H71" s="55">
        <f>D71-F71</f>
        <v>-1959.8643998350017</v>
      </c>
      <c r="I71" s="58"/>
    </row>
    <row r="72" spans="1:10" ht="15">
      <c r="A72" s="142" t="s">
        <v>45</v>
      </c>
      <c r="B72" s="142"/>
      <c r="C72" s="29">
        <f>C66+C71</f>
        <v>685073.21</v>
      </c>
      <c r="D72" s="29">
        <f>D66+D71</f>
        <v>683905.385600165</v>
      </c>
      <c r="E72" s="29">
        <f t="shared" si="4"/>
        <v>-1167.8243998349644</v>
      </c>
      <c r="F72" s="29">
        <f>F66+F71</f>
        <v>694871.22</v>
      </c>
      <c r="G72" s="33"/>
      <c r="H72" s="33"/>
      <c r="I72" s="33"/>
      <c r="J72" s="33"/>
    </row>
    <row r="73" ht="15">
      <c r="A73" s="48"/>
    </row>
    <row r="74" spans="2:6" ht="15">
      <c r="B74" s="49"/>
      <c r="C74" s="49"/>
      <c r="D74" s="49"/>
      <c r="E74" s="49"/>
      <c r="F74" s="51"/>
    </row>
    <row r="75" spans="1:11" ht="15">
      <c r="A75" s="48">
        <f>C55-E14-E26</f>
        <v>1633093.7895</v>
      </c>
      <c r="B75" s="60">
        <f>A75*B67</f>
        <v>359280.63369</v>
      </c>
      <c r="C75" s="61">
        <f>I55-K14-K26</f>
        <v>1640590.5814574999</v>
      </c>
      <c r="D75" s="62">
        <f>C75*B67</f>
        <v>360929.92792065</v>
      </c>
      <c r="E75">
        <f>D75-C67</f>
        <v>-2841.0720793499495</v>
      </c>
      <c r="G75" s="63"/>
      <c r="H75" s="63"/>
      <c r="I75" s="63"/>
      <c r="J75" s="63"/>
      <c r="K75" s="63"/>
    </row>
    <row r="76" spans="2:11" ht="15">
      <c r="B76" s="60">
        <f>A75*B68</f>
        <v>47359.7198955</v>
      </c>
      <c r="C76" s="49"/>
      <c r="D76" s="51">
        <f>C75*B68</f>
        <v>47577.1268622675</v>
      </c>
      <c r="E76">
        <f>D76-C68</f>
        <v>7068.356862267494</v>
      </c>
      <c r="F76" s="51"/>
      <c r="G76" s="63"/>
      <c r="H76" s="63"/>
      <c r="I76" s="63"/>
      <c r="J76" s="21"/>
      <c r="K76" s="21"/>
    </row>
    <row r="77" spans="1:11" ht="15">
      <c r="A77" s="48"/>
      <c r="B77" s="60">
        <f>A75*B69</f>
        <v>83287.78326449999</v>
      </c>
      <c r="D77" s="62">
        <f>C75*B69</f>
        <v>83670.11965433249</v>
      </c>
      <c r="E77">
        <f>D77-C69</f>
        <v>-5262.9103456675075</v>
      </c>
      <c r="G77" s="63"/>
      <c r="H77" s="63"/>
      <c r="I77" s="21"/>
      <c r="J77" s="21"/>
      <c r="K77" s="21"/>
    </row>
    <row r="78" spans="2:11" ht="15">
      <c r="B78" s="60">
        <f>A75*B70</f>
        <v>3266.187579</v>
      </c>
      <c r="C78" s="49"/>
      <c r="D78" s="51">
        <f>C75*B70</f>
        <v>3281.1811629149997</v>
      </c>
      <c r="E78">
        <f>D78-C70</f>
        <v>-924.2288370850001</v>
      </c>
      <c r="F78" s="51"/>
      <c r="G78" s="63"/>
      <c r="H78" s="63"/>
      <c r="I78" s="21"/>
      <c r="J78" s="21"/>
      <c r="K78" s="21"/>
    </row>
    <row r="79" spans="1:11" ht="15">
      <c r="A79" s="48"/>
      <c r="B79">
        <f>B75+B76+B77+B78</f>
        <v>493194.324429</v>
      </c>
      <c r="D79" s="62">
        <f>D75+D76+D77+D78</f>
        <v>495458.355600165</v>
      </c>
      <c r="E79">
        <f>D79-C71</f>
        <v>-1959.854399834876</v>
      </c>
      <c r="G79" s="63"/>
      <c r="H79" s="63"/>
      <c r="I79" s="21"/>
      <c r="J79" s="21"/>
      <c r="K79" s="21"/>
    </row>
    <row r="80" spans="2:11" ht="15">
      <c r="B80" s="49"/>
      <c r="C80" s="49"/>
      <c r="D80" s="49"/>
      <c r="E80" s="49"/>
      <c r="F80" s="51"/>
      <c r="G80" s="63"/>
      <c r="H80" s="63"/>
      <c r="I80" s="21"/>
      <c r="J80" s="21"/>
      <c r="K80" s="21"/>
    </row>
    <row r="81" spans="1:11" ht="15">
      <c r="A81" s="48"/>
      <c r="G81" s="63"/>
      <c r="H81" s="63"/>
      <c r="I81" s="21"/>
      <c r="J81" s="21"/>
      <c r="K81" s="21"/>
    </row>
    <row r="82" spans="2:11" ht="15">
      <c r="B82" s="63"/>
      <c r="C82" s="63"/>
      <c r="D82" s="63"/>
      <c r="E82" s="63"/>
      <c r="F82" s="63"/>
      <c r="G82" s="63"/>
      <c r="H82" s="63"/>
      <c r="I82" s="21"/>
      <c r="J82" s="21"/>
      <c r="K82" s="21"/>
    </row>
    <row r="83" spans="2:11" ht="15">
      <c r="B83" s="63"/>
      <c r="C83" s="63"/>
      <c r="D83" s="63"/>
      <c r="E83" s="63"/>
      <c r="F83" s="63"/>
      <c r="G83" s="63"/>
      <c r="H83" s="63"/>
      <c r="I83" s="21"/>
      <c r="J83" s="21"/>
      <c r="K83" s="21"/>
    </row>
    <row r="84" spans="2:11" ht="15">
      <c r="B84" s="63"/>
      <c r="C84" s="63"/>
      <c r="D84" s="63"/>
      <c r="E84" s="63"/>
      <c r="F84" s="63"/>
      <c r="G84" s="63"/>
      <c r="H84" s="63"/>
      <c r="I84" s="21"/>
      <c r="J84" s="21"/>
      <c r="K84" s="21"/>
    </row>
    <row r="85" spans="2:11" ht="15">
      <c r="B85" s="63"/>
      <c r="C85" s="63"/>
      <c r="D85" s="63"/>
      <c r="E85" s="63"/>
      <c r="F85" s="63"/>
      <c r="G85" s="63"/>
      <c r="H85" s="63"/>
      <c r="I85" s="21"/>
      <c r="J85" s="21"/>
      <c r="K85" s="21"/>
    </row>
    <row r="86" spans="2:11" ht="15">
      <c r="B86" s="63"/>
      <c r="C86" s="63"/>
      <c r="D86" s="63"/>
      <c r="E86" s="63"/>
      <c r="F86" s="63"/>
      <c r="G86" s="63"/>
      <c r="H86" s="63"/>
      <c r="I86" s="21"/>
      <c r="J86" s="21"/>
      <c r="K86" s="21"/>
    </row>
    <row r="87" spans="2:11" ht="15">
      <c r="B87" s="63"/>
      <c r="C87" s="63"/>
      <c r="D87" s="63"/>
      <c r="E87" s="63"/>
      <c r="F87" s="63"/>
      <c r="G87" s="63"/>
      <c r="H87" s="63"/>
      <c r="I87" s="21"/>
      <c r="J87" s="21"/>
      <c r="K87" s="21"/>
    </row>
    <row r="88" spans="2:11" ht="15">
      <c r="B88" s="63"/>
      <c r="C88" s="64"/>
      <c r="D88" s="63"/>
      <c r="E88" s="63"/>
      <c r="F88" s="63"/>
      <c r="G88" s="63"/>
      <c r="H88" s="63"/>
      <c r="I88" s="21"/>
      <c r="J88" s="21"/>
      <c r="K88" s="21"/>
    </row>
    <row r="89" spans="2:11" ht="15">
      <c r="B89" s="63"/>
      <c r="C89" s="64"/>
      <c r="D89" s="63"/>
      <c r="E89" s="63"/>
      <c r="F89" s="63"/>
      <c r="G89" s="63"/>
      <c r="H89" s="63"/>
      <c r="I89" s="21"/>
      <c r="J89" s="21"/>
      <c r="K89" s="21"/>
    </row>
    <row r="90" spans="2:11" ht="15">
      <c r="B90" s="63"/>
      <c r="C90" s="63"/>
      <c r="D90" s="63"/>
      <c r="E90" s="63"/>
      <c r="F90" s="63"/>
      <c r="G90" s="63"/>
      <c r="H90" s="63"/>
      <c r="I90" s="21"/>
      <c r="J90" s="21"/>
      <c r="K90" s="21"/>
    </row>
    <row r="91" spans="2:16" ht="15">
      <c r="B91" s="63"/>
      <c r="C91" s="63"/>
      <c r="D91" s="63"/>
      <c r="E91" s="63"/>
      <c r="F91" s="63"/>
      <c r="G91" s="65"/>
      <c r="H91" s="65"/>
      <c r="I91" s="21"/>
      <c r="J91" s="65"/>
      <c r="K91" s="65"/>
      <c r="L91" s="65"/>
      <c r="M91" s="65"/>
      <c r="P91" s="65"/>
    </row>
  </sheetData>
  <sheetProtection/>
  <mergeCells count="174">
    <mergeCell ref="Q5:Q7"/>
    <mergeCell ref="C6:E6"/>
    <mergeCell ref="F6:G6"/>
    <mergeCell ref="H6:H7"/>
    <mergeCell ref="I6:K6"/>
    <mergeCell ref="L6:M6"/>
    <mergeCell ref="N6:N7"/>
    <mergeCell ref="C7:D7"/>
    <mergeCell ref="I7:J7"/>
    <mergeCell ref="N9:N17"/>
    <mergeCell ref="O9:O17"/>
    <mergeCell ref="A17:B17"/>
    <mergeCell ref="P1:Q1"/>
    <mergeCell ref="A3:Q3"/>
    <mergeCell ref="A5:B7"/>
    <mergeCell ref="C5:H5"/>
    <mergeCell ref="I5:N5"/>
    <mergeCell ref="O5:O7"/>
    <mergeCell ref="P5:P7"/>
    <mergeCell ref="L17:M17"/>
    <mergeCell ref="A8:B8"/>
    <mergeCell ref="C8:D8"/>
    <mergeCell ref="I8:J8"/>
    <mergeCell ref="A9:B16"/>
    <mergeCell ref="C9:D9"/>
    <mergeCell ref="H9:H17"/>
    <mergeCell ref="I9:J9"/>
    <mergeCell ref="C15:D15"/>
    <mergeCell ref="I15:J15"/>
    <mergeCell ref="C16:D16"/>
    <mergeCell ref="I16:J16"/>
    <mergeCell ref="C17:E17"/>
    <mergeCell ref="F17:G17"/>
    <mergeCell ref="I17:K17"/>
    <mergeCell ref="C12:D12"/>
    <mergeCell ref="I12:J12"/>
    <mergeCell ref="C13:D13"/>
    <mergeCell ref="I13:J13"/>
    <mergeCell ref="C14:D14"/>
    <mergeCell ref="I14:J14"/>
    <mergeCell ref="C25:D25"/>
    <mergeCell ref="I25:J25"/>
    <mergeCell ref="C26:D26"/>
    <mergeCell ref="I26:J26"/>
    <mergeCell ref="P9:P17"/>
    <mergeCell ref="Q9:Q17"/>
    <mergeCell ref="C10:D10"/>
    <mergeCell ref="I10:J10"/>
    <mergeCell ref="C11:D11"/>
    <mergeCell ref="I11:J11"/>
    <mergeCell ref="P18:P28"/>
    <mergeCell ref="Q18:Q28"/>
    <mergeCell ref="C19:D19"/>
    <mergeCell ref="I19:J19"/>
    <mergeCell ref="C20:D20"/>
    <mergeCell ref="I20:J20"/>
    <mergeCell ref="C21:D21"/>
    <mergeCell ref="I21:J21"/>
    <mergeCell ref="C22:D22"/>
    <mergeCell ref="I22:J22"/>
    <mergeCell ref="A18:B27"/>
    <mergeCell ref="C18:D18"/>
    <mergeCell ref="H18:H28"/>
    <mergeCell ref="I18:J18"/>
    <mergeCell ref="N18:N28"/>
    <mergeCell ref="O18:O28"/>
    <mergeCell ref="C23:D23"/>
    <mergeCell ref="I23:J23"/>
    <mergeCell ref="C24:D24"/>
    <mergeCell ref="I24:J24"/>
    <mergeCell ref="A28:B28"/>
    <mergeCell ref="C28:E28"/>
    <mergeCell ref="F28:G28"/>
    <mergeCell ref="I28:K28"/>
    <mergeCell ref="L28:M28"/>
    <mergeCell ref="A29:B34"/>
    <mergeCell ref="C29:D29"/>
    <mergeCell ref="H29:H35"/>
    <mergeCell ref="I29:J29"/>
    <mergeCell ref="A35:B35"/>
    <mergeCell ref="C35:E35"/>
    <mergeCell ref="F35:G35"/>
    <mergeCell ref="I35:K35"/>
    <mergeCell ref="L35:M35"/>
    <mergeCell ref="C27:D27"/>
    <mergeCell ref="I27:J27"/>
    <mergeCell ref="C32:D32"/>
    <mergeCell ref="I32:J32"/>
    <mergeCell ref="C33:D33"/>
    <mergeCell ref="I33:J33"/>
    <mergeCell ref="C34:D34"/>
    <mergeCell ref="I34:J34"/>
    <mergeCell ref="C45:D45"/>
    <mergeCell ref="I45:J45"/>
    <mergeCell ref="N29:N35"/>
    <mergeCell ref="O29:O35"/>
    <mergeCell ref="P29:P35"/>
    <mergeCell ref="Q29:Q35"/>
    <mergeCell ref="C30:D30"/>
    <mergeCell ref="I30:J30"/>
    <mergeCell ref="C31:D31"/>
    <mergeCell ref="I31:J31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A36:B45"/>
    <mergeCell ref="H36:H46"/>
    <mergeCell ref="N36:N46"/>
    <mergeCell ref="O36:O46"/>
    <mergeCell ref="P36:P46"/>
    <mergeCell ref="Q36:Q46"/>
    <mergeCell ref="C37:D37"/>
    <mergeCell ref="I37:J37"/>
    <mergeCell ref="C38:D38"/>
    <mergeCell ref="I38:J38"/>
    <mergeCell ref="A46:B46"/>
    <mergeCell ref="C46:E46"/>
    <mergeCell ref="F46:G46"/>
    <mergeCell ref="I46:K46"/>
    <mergeCell ref="L46:M46"/>
    <mergeCell ref="A47:B49"/>
    <mergeCell ref="C47:D47"/>
    <mergeCell ref="H47:H50"/>
    <mergeCell ref="I47:J47"/>
    <mergeCell ref="C48:D48"/>
    <mergeCell ref="I48:J48"/>
    <mergeCell ref="C49:D49"/>
    <mergeCell ref="I49:J49"/>
    <mergeCell ref="A50:B50"/>
    <mergeCell ref="C50:E50"/>
    <mergeCell ref="F50:G50"/>
    <mergeCell ref="I50:K50"/>
    <mergeCell ref="I54:K54"/>
    <mergeCell ref="L54:M54"/>
    <mergeCell ref="N47:N50"/>
    <mergeCell ref="O47:O50"/>
    <mergeCell ref="P47:P50"/>
    <mergeCell ref="Q47:Q50"/>
    <mergeCell ref="L50:M50"/>
    <mergeCell ref="N51:N54"/>
    <mergeCell ref="O51:O54"/>
    <mergeCell ref="P51:P54"/>
    <mergeCell ref="Q51:Q54"/>
    <mergeCell ref="C52:D52"/>
    <mergeCell ref="I52:J52"/>
    <mergeCell ref="C53:D53"/>
    <mergeCell ref="I53:J53"/>
    <mergeCell ref="C54:E54"/>
    <mergeCell ref="F54:G54"/>
    <mergeCell ref="L55:M55"/>
    <mergeCell ref="F56:G56"/>
    <mergeCell ref="L56:M56"/>
    <mergeCell ref="F61:G61"/>
    <mergeCell ref="A66:B66"/>
    <mergeCell ref="A51:B53"/>
    <mergeCell ref="C51:D51"/>
    <mergeCell ref="H51:H54"/>
    <mergeCell ref="I51:J51"/>
    <mergeCell ref="A54:B54"/>
    <mergeCell ref="A71:B71"/>
    <mergeCell ref="A72:B72"/>
    <mergeCell ref="A55:B55"/>
    <mergeCell ref="C55:E55"/>
    <mergeCell ref="F55:G55"/>
    <mergeCell ref="I55:K55"/>
  </mergeCells>
  <printOptions/>
  <pageMargins left="0.7875" right="0.39375" top="0.196527777777778" bottom="0.196527777777778" header="0.511805555555555" footer="0.51180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workbookViewId="0" topLeftCell="A1">
      <selection activeCell="C55" sqref="C55"/>
    </sheetView>
  </sheetViews>
  <sheetFormatPr defaultColWidth="9.7109375" defaultRowHeight="15"/>
  <cols>
    <col min="1" max="1" width="9.7109375" style="0" customWidth="1"/>
    <col min="2" max="2" width="10.8515625" style="0" customWidth="1"/>
    <col min="3" max="3" width="12.28125" style="0" customWidth="1"/>
    <col min="4" max="4" width="21.8515625" style="0" customWidth="1"/>
    <col min="5" max="5" width="9.7109375" style="0" customWidth="1"/>
    <col min="6" max="6" width="14.00390625" style="0" customWidth="1"/>
    <col min="7" max="9" width="9.7109375" style="0" customWidth="1"/>
    <col min="10" max="10" width="26.28125" style="0" customWidth="1"/>
    <col min="11" max="11" width="12.421875" style="0" customWidth="1"/>
    <col min="12" max="12" width="14.28125" style="0" customWidth="1"/>
    <col min="13" max="13" width="11.57421875" style="0" customWidth="1"/>
    <col min="14" max="14" width="8.00390625" style="0" customWidth="1"/>
    <col min="15" max="15" width="17.57421875" style="0" customWidth="1"/>
    <col min="16" max="16" width="11.8515625" style="0" customWidth="1"/>
    <col min="17" max="17" width="12.00390625" style="0" customWidth="1"/>
    <col min="18" max="18" width="10.8515625" style="0" customWidth="1"/>
  </cols>
  <sheetData>
    <row r="1" spans="1:17" ht="12.75" customHeight="1">
      <c r="A1" s="1"/>
      <c r="B1" s="1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3"/>
      <c r="P1" s="164" t="s">
        <v>180</v>
      </c>
      <c r="Q1" s="164"/>
    </row>
    <row r="2" spans="1:17" ht="12.75" customHeight="1">
      <c r="A2" s="1"/>
      <c r="B2" s="1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3"/>
      <c r="P2" s="41"/>
      <c r="Q2" s="41"/>
    </row>
    <row r="3" spans="1:17" ht="12.75" customHeight="1">
      <c r="A3" s="165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</row>
    <row r="5" spans="1:17" ht="12.75" customHeight="1">
      <c r="A5" s="150" t="s">
        <v>5</v>
      </c>
      <c r="B5" s="150"/>
      <c r="C5" s="153" t="s">
        <v>150</v>
      </c>
      <c r="D5" s="153"/>
      <c r="E5" s="153"/>
      <c r="F5" s="153"/>
      <c r="G5" s="153"/>
      <c r="H5" s="153"/>
      <c r="I5" s="153" t="s">
        <v>151</v>
      </c>
      <c r="J5" s="153"/>
      <c r="K5" s="153"/>
      <c r="L5" s="153"/>
      <c r="M5" s="153"/>
      <c r="N5" s="153"/>
      <c r="O5" s="144" t="s">
        <v>152</v>
      </c>
      <c r="P5" s="144" t="s">
        <v>3</v>
      </c>
      <c r="Q5" s="144" t="s">
        <v>153</v>
      </c>
    </row>
    <row r="6" spans="1:17" ht="12.75" customHeight="1">
      <c r="A6" s="150"/>
      <c r="B6" s="150"/>
      <c r="C6" s="144" t="s">
        <v>6</v>
      </c>
      <c r="D6" s="144"/>
      <c r="E6" s="144"/>
      <c r="F6" s="144" t="s">
        <v>154</v>
      </c>
      <c r="G6" s="144"/>
      <c r="H6" s="144" t="s">
        <v>7</v>
      </c>
      <c r="I6" s="144" t="s">
        <v>6</v>
      </c>
      <c r="J6" s="144"/>
      <c r="K6" s="144"/>
      <c r="L6" s="144" t="s">
        <v>154</v>
      </c>
      <c r="M6" s="144"/>
      <c r="N6" s="144" t="s">
        <v>7</v>
      </c>
      <c r="O6" s="144"/>
      <c r="P6" s="144"/>
      <c r="Q6" s="144"/>
    </row>
    <row r="7" spans="1:17" ht="53.25" customHeight="1">
      <c r="A7" s="150"/>
      <c r="B7" s="150"/>
      <c r="C7" s="144" t="s">
        <v>8</v>
      </c>
      <c r="D7" s="144"/>
      <c r="E7" s="6" t="s">
        <v>9</v>
      </c>
      <c r="F7" s="5" t="s">
        <v>10</v>
      </c>
      <c r="G7" s="6" t="s">
        <v>9</v>
      </c>
      <c r="H7" s="144"/>
      <c r="I7" s="144" t="s">
        <v>8</v>
      </c>
      <c r="J7" s="144" t="s">
        <v>155</v>
      </c>
      <c r="K7" s="6" t="s">
        <v>9</v>
      </c>
      <c r="L7" s="5" t="s">
        <v>10</v>
      </c>
      <c r="M7" s="6" t="s">
        <v>9</v>
      </c>
      <c r="N7" s="144"/>
      <c r="O7" s="144"/>
      <c r="P7" s="144"/>
      <c r="Q7" s="144"/>
    </row>
    <row r="8" spans="1:17" ht="12.75" customHeight="1">
      <c r="A8" s="163">
        <v>1</v>
      </c>
      <c r="B8" s="163"/>
      <c r="C8" s="163">
        <v>2</v>
      </c>
      <c r="D8" s="163"/>
      <c r="E8" s="42">
        <v>3</v>
      </c>
      <c r="F8" s="42">
        <v>4</v>
      </c>
      <c r="G8" s="43">
        <v>5</v>
      </c>
      <c r="H8" s="42">
        <v>6</v>
      </c>
      <c r="I8" s="163">
        <v>7</v>
      </c>
      <c r="J8" s="163"/>
      <c r="K8" s="43">
        <v>8</v>
      </c>
      <c r="L8" s="42">
        <v>9</v>
      </c>
      <c r="M8" s="43">
        <v>10</v>
      </c>
      <c r="N8" s="42">
        <v>11</v>
      </c>
      <c r="O8" s="42">
        <v>12</v>
      </c>
      <c r="P8" s="42">
        <v>13</v>
      </c>
      <c r="Q8" s="42">
        <v>14</v>
      </c>
    </row>
    <row r="9" spans="1:19" ht="12.75" customHeight="1">
      <c r="A9" s="147" t="s">
        <v>156</v>
      </c>
      <c r="B9" s="147"/>
      <c r="C9" s="158" t="s">
        <v>21</v>
      </c>
      <c r="D9" s="158"/>
      <c r="E9" s="11">
        <f>январь!D9+февраль!D9+март!D9+апрель!D9+май!D9+июнь!D9+июль!D9+август!D9+сентябрь!D9+октябрь!D9+ноябрь!D9+декабрь!D9</f>
        <v>43094.55</v>
      </c>
      <c r="F9" s="11" t="s">
        <v>13</v>
      </c>
      <c r="G9" s="11">
        <f>январь!F9+февраль!F9+март!F9+апрель!F9+май!F9+июнь!F9+июль!F9+август!F9+сентябрь!F9+октябрь!F9+ноябрь!F9+декабрь!F9</f>
        <v>31052</v>
      </c>
      <c r="H9" s="145">
        <f>январь!G9+февраль!G9+март!G9+апрель!G9+май!G9+июнь!G9+июль!G9+август!G9+сентябрь!G9+октябрь!G9+ноябрь!G9+декабрь!G9</f>
        <v>67998.21350000004</v>
      </c>
      <c r="I9" s="158" t="s">
        <v>21</v>
      </c>
      <c r="J9" s="158"/>
      <c r="K9" s="11">
        <f>январь!I9+февраль!I9+март!I9+апрель!I9+май!I9+июнь!I9+июль!I9+август!I9+сентябрь!I9+октябрь!I9+ноябрь!I9+декабрь!I9</f>
        <v>43094.55</v>
      </c>
      <c r="L9" s="13" t="s">
        <v>13</v>
      </c>
      <c r="M9" s="11">
        <f>январь!K9+февраль!K9+март!K9+апрель!K9+май!K9+июнь!K9+июль!K9+август!K9+сентябрь!K9+октябрь!K9+ноябрь!K9+декабрь!K9</f>
        <v>31052</v>
      </c>
      <c r="N9" s="145">
        <f>февраль!L9+март!L9+май!L9+июнь!L9+июль!L9+август!L9+сентябрь!L9+октябрь!L9+ноябрь!L9+декабрь!L9</f>
        <v>71143.02350000004</v>
      </c>
      <c r="O9" s="145">
        <f>январь!M9+февраль!M9+март!M9+апрель!M9+май!M9+июнь!M9+июль!M9+август!M9+сентябрь!M9+октябрь!M9+ноябрь!M9+декабрь!M9</f>
        <v>0</v>
      </c>
      <c r="P9" s="145">
        <f>январь!N9+февраль!N9+март!N9+апрель!N9+май!N9+июнь!N9+июль!N9+август!N9+сентябрь!N9+октябрь!N9+ноябрь!N9+декабрь!N9</f>
        <v>71143.92</v>
      </c>
      <c r="Q9" s="145">
        <f>январь!O9+февраль!O9+март!O9+апрель!O9+май!O9+июнь!O9+июль!O9+август!O9+сентябрь!O9+октябрь!O9+ноябрь!O9+декабрь!O9</f>
        <v>-0.8964999999927841</v>
      </c>
      <c r="S9">
        <f aca="true" t="shared" si="0" ref="S9:S27">K9-E9</f>
        <v>0</v>
      </c>
    </row>
    <row r="10" spans="1:19" ht="19.5" customHeight="1">
      <c r="A10" s="147"/>
      <c r="B10" s="147"/>
      <c r="C10" s="162" t="s">
        <v>157</v>
      </c>
      <c r="D10" s="162"/>
      <c r="E10" s="11">
        <f>январь!D10+февраль!D10+март!D10+апрель!D10+май!D10+июнь!D10+июль!D10+август!D10+сентябрь!D10+октябрь!D10+ноябрь!D10+декабрь!D10</f>
        <v>1292.8400000000001</v>
      </c>
      <c r="F10" s="16" t="s">
        <v>14</v>
      </c>
      <c r="G10" s="11">
        <f>январь!F10+февраль!F10+март!F10+апрель!F10+май!F10+июнь!F10+июль!F10+август!F10+сентябрь!F10+октябрь!F10+ноябрь!F10+декабрь!F10</f>
        <v>75000</v>
      </c>
      <c r="H10" s="145"/>
      <c r="I10" s="162" t="s">
        <v>158</v>
      </c>
      <c r="J10" s="162"/>
      <c r="K10" s="11">
        <f>январь!I10+февраль!I10+март!I10+апрель!I10+май!I10+июнь!I10+июль!I10+август!I10+сентябрь!I10+октябрь!I10+ноябрь!I10+декабрь!I10</f>
        <v>1292.8400000000001</v>
      </c>
      <c r="L10" s="16" t="s">
        <v>14</v>
      </c>
      <c r="M10" s="11">
        <f>январь!K10+февраль!K10+март!K10+апрель!K10+май!K10+июнь!K10+июль!K10+август!K10+сентябрь!K10+октябрь!K10+ноябрь!K10+декабрь!K10</f>
        <v>75000</v>
      </c>
      <c r="N10" s="145"/>
      <c r="O10" s="145"/>
      <c r="P10" s="145"/>
      <c r="Q10" s="145"/>
      <c r="S10">
        <f t="shared" si="0"/>
        <v>0</v>
      </c>
    </row>
    <row r="11" spans="1:19" ht="20.25" customHeight="1">
      <c r="A11" s="147"/>
      <c r="B11" s="147"/>
      <c r="C11" s="162" t="s">
        <v>159</v>
      </c>
      <c r="D11" s="162"/>
      <c r="E11" s="11">
        <f>январь!D11+февраль!D11+март!D11+апрель!D11+май!D11+июнь!D11+июль!D11+август!D11+сентябрь!D11+октябрь!D11+ноябрь!D11+декабрь!D11</f>
        <v>12928.36</v>
      </c>
      <c r="F11" s="11" t="s">
        <v>58</v>
      </c>
      <c r="G11" s="11">
        <f>март!F11+апрель!F11+май!F11+июнь!F11+июль!F11+август!F11+сентябрь!F11+октябрь!F11</f>
        <v>40888.58</v>
      </c>
      <c r="H11" s="145"/>
      <c r="I11" s="162" t="s">
        <v>22</v>
      </c>
      <c r="J11" s="162"/>
      <c r="K11" s="11">
        <f>январь!I11+февраль!I11+март!I11+апрель!I11+май!I11+июнь!I11+июль!I11+август!I11+сентябрь!I11+октябрь!I11+ноябрь!I11+декабрь!I11</f>
        <v>12928.36</v>
      </c>
      <c r="L11" s="16" t="s">
        <v>58</v>
      </c>
      <c r="M11" s="11">
        <f>март!K11+апрель!K11+май!K11+июнь!K11+июль!K11+август!K11+сентябрь!K11+октябрь!K11</f>
        <v>40888.58</v>
      </c>
      <c r="N11" s="145"/>
      <c r="O11" s="145"/>
      <c r="P11" s="145"/>
      <c r="Q11" s="145"/>
      <c r="S11">
        <f t="shared" si="0"/>
        <v>0</v>
      </c>
    </row>
    <row r="12" spans="1:19" ht="16.5" customHeight="1">
      <c r="A12" s="147"/>
      <c r="B12" s="147"/>
      <c r="C12" s="159" t="s">
        <v>160</v>
      </c>
      <c r="D12" s="159"/>
      <c r="E12" s="11">
        <f>январь!D12+февраль!D12+март!D12+апрель!D12+май!D12+июнь!D12+июль!D12+август!D12+сентябрь!D12+октябрь!D12+ноябрь!D12+декабрь!D12</f>
        <v>72398.84</v>
      </c>
      <c r="F12" s="16" t="s">
        <v>100</v>
      </c>
      <c r="G12" s="11">
        <f>февраль!F11+май!F12</f>
        <v>3144.81</v>
      </c>
      <c r="H12" s="145"/>
      <c r="I12" s="159" t="s">
        <v>160</v>
      </c>
      <c r="J12" s="159"/>
      <c r="K12" s="11">
        <f>январь!I12+февраль!I12+март!I12+апрель!I12+май!I12+июнь!I12+июль!I12+август!I12+сентябрь!I12+октябрь!I12+ноябрь!I12+декабрь!I12</f>
        <v>72398.84</v>
      </c>
      <c r="L12" s="16" t="s">
        <v>100</v>
      </c>
      <c r="M12" s="11">
        <f>февраль!K11+май!K12</f>
        <v>3144.81</v>
      </c>
      <c r="N12" s="145"/>
      <c r="O12" s="145"/>
      <c r="P12" s="145"/>
      <c r="Q12" s="145"/>
      <c r="R12">
        <f>N9-P9</f>
        <v>-0.8964999999589054</v>
      </c>
      <c r="S12">
        <f t="shared" si="0"/>
        <v>0</v>
      </c>
    </row>
    <row r="13" spans="1:19" ht="19.5" customHeight="1">
      <c r="A13" s="147"/>
      <c r="B13" s="147"/>
      <c r="C13" s="159" t="s">
        <v>16</v>
      </c>
      <c r="D13" s="159"/>
      <c r="E13" s="11">
        <f>январь!D13+февраль!D13+март!D13+апрель!D13+май!D13+июнь!D13+июль!D13+август!D13+сентябрь!D13+октябрь!D13+ноябрь!D13+декабрь!D13</f>
        <v>84314.48350000002</v>
      </c>
      <c r="F13" s="11" t="s">
        <v>99</v>
      </c>
      <c r="G13" s="11">
        <f>ноябрь!F11</f>
        <v>20761.56</v>
      </c>
      <c r="H13" s="145"/>
      <c r="I13" s="159" t="s">
        <v>16</v>
      </c>
      <c r="J13" s="159"/>
      <c r="K13" s="11">
        <f>январь!I13+февраль!I13+март!I13+апрель!I13+май!I13+июнь!I13+июль!I13+август!I13+сентябрь!I13+октябрь!I13+ноябрь!I13+декабрь!I13</f>
        <v>84314.48350000002</v>
      </c>
      <c r="L13" s="11" t="s">
        <v>99</v>
      </c>
      <c r="M13" s="11">
        <f>ноябрь!K11</f>
        <v>20761.56</v>
      </c>
      <c r="N13" s="145"/>
      <c r="O13" s="145"/>
      <c r="P13" s="145"/>
      <c r="Q13" s="145"/>
      <c r="S13">
        <f t="shared" si="0"/>
        <v>0</v>
      </c>
    </row>
    <row r="14" spans="1:19" ht="12.75" customHeight="1">
      <c r="A14" s="147"/>
      <c r="B14" s="147"/>
      <c r="C14" s="159" t="s">
        <v>17</v>
      </c>
      <c r="D14" s="159" t="s">
        <v>17</v>
      </c>
      <c r="E14" s="11">
        <f>январь!D14+декабрь!D14</f>
        <v>4580.23</v>
      </c>
      <c r="F14" s="11"/>
      <c r="G14" s="11"/>
      <c r="H14" s="145"/>
      <c r="I14" s="159" t="s">
        <v>17</v>
      </c>
      <c r="J14" s="159" t="s">
        <v>17</v>
      </c>
      <c r="K14" s="11">
        <f>январь!D14+декабрь!I14</f>
        <v>4580.23</v>
      </c>
      <c r="L14" s="17"/>
      <c r="M14" s="11"/>
      <c r="N14" s="145"/>
      <c r="O14" s="145"/>
      <c r="P14" s="145"/>
      <c r="Q14" s="145"/>
      <c r="S14">
        <f t="shared" si="0"/>
        <v>0</v>
      </c>
    </row>
    <row r="15" spans="1:19" ht="12.75" customHeight="1">
      <c r="A15" s="147"/>
      <c r="B15" s="147"/>
      <c r="C15" s="159" t="s">
        <v>18</v>
      </c>
      <c r="D15" s="159" t="s">
        <v>18</v>
      </c>
      <c r="E15" s="11">
        <f>январь!D15</f>
        <v>-3627.7</v>
      </c>
      <c r="F15" s="11"/>
      <c r="G15" s="11"/>
      <c r="H15" s="145"/>
      <c r="I15" s="159" t="s">
        <v>18</v>
      </c>
      <c r="J15" s="159" t="s">
        <v>18</v>
      </c>
      <c r="K15" s="11">
        <f>январь!D15</f>
        <v>-3627.7</v>
      </c>
      <c r="L15" s="17"/>
      <c r="M15" s="11"/>
      <c r="N15" s="145"/>
      <c r="O15" s="145"/>
      <c r="P15" s="145"/>
      <c r="Q15" s="145"/>
      <c r="S15">
        <f t="shared" si="0"/>
        <v>0</v>
      </c>
    </row>
    <row r="16" spans="1:19" ht="12.75" customHeight="1">
      <c r="A16" s="147"/>
      <c r="B16" s="147"/>
      <c r="C16" s="159" t="s">
        <v>161</v>
      </c>
      <c r="D16" s="159"/>
      <c r="E16" s="11">
        <f>ноябрь!D14</f>
        <v>23863.56</v>
      </c>
      <c r="F16" s="11"/>
      <c r="G16" s="11"/>
      <c r="H16" s="145"/>
      <c r="I16" s="159" t="s">
        <v>162</v>
      </c>
      <c r="J16" s="159"/>
      <c r="K16" s="11">
        <f>ноябрь!D14</f>
        <v>23863.56</v>
      </c>
      <c r="L16" s="17"/>
      <c r="M16" s="11"/>
      <c r="N16" s="145"/>
      <c r="O16" s="145"/>
      <c r="P16" s="145"/>
      <c r="Q16" s="145"/>
      <c r="S16">
        <f t="shared" si="0"/>
        <v>0</v>
      </c>
    </row>
    <row r="17" spans="1:19" ht="12.75" customHeight="1">
      <c r="A17" s="146" t="s">
        <v>163</v>
      </c>
      <c r="B17" s="146"/>
      <c r="C17" s="145">
        <f>январь!C16+февраль!C16+март!C16+апрель!C16+май!C16+июнь!C16+июль!C16+август!C16+сентябрь!C16+октябрь!C16+ноябрь!C16+декабрь!C16</f>
        <v>238845.16350000002</v>
      </c>
      <c r="D17" s="145"/>
      <c r="E17" s="145"/>
      <c r="F17" s="145">
        <f>январь!E16+февраль!E16+март!E16+апрель!E16+май!E16+июнь!E16+июль!E16+август!E16+сентябрь!E16+октябрь!E16+ноябрь!E16+декабрь!E16</f>
        <v>170846.95</v>
      </c>
      <c r="G17" s="145"/>
      <c r="H17" s="145"/>
      <c r="I17" s="145">
        <f>январь!H16+февраль!H16+март!H16+апрель!H16+май!H16+июнь!H16+июль!H16+август!H16+сентябрь!H16+октябрь!H16+ноябрь!H16+декабрь!H16</f>
        <v>238845.16350000002</v>
      </c>
      <c r="J17" s="145"/>
      <c r="K17" s="145"/>
      <c r="L17" s="145">
        <f>январь!J16+февраль!J16+март!J16+апрель!J16+май!J16+июнь!J16+июль!J16+август!J16+сентябрь!J16+октябрь!J16+ноябрь!J16+декабрь!J16</f>
        <v>170846.95</v>
      </c>
      <c r="M17" s="145"/>
      <c r="N17" s="145"/>
      <c r="O17" s="145"/>
      <c r="P17" s="145"/>
      <c r="Q17" s="145"/>
      <c r="S17">
        <f t="shared" si="0"/>
        <v>0</v>
      </c>
    </row>
    <row r="18" spans="1:19" ht="12.75" customHeight="1">
      <c r="A18" s="147" t="s">
        <v>164</v>
      </c>
      <c r="B18" s="147"/>
      <c r="C18" s="158" t="s">
        <v>21</v>
      </c>
      <c r="D18" s="158"/>
      <c r="E18" s="11">
        <f>январь!D17+февраль!D17+март!D17+апрель!D17+май!D17+июнь!D17+июль!D17+август!D17+сентябрь!D17+октябрь!D17+ноябрь!D17+декабрь!D17</f>
        <v>120011.71</v>
      </c>
      <c r="F18" s="11" t="s">
        <v>13</v>
      </c>
      <c r="G18" s="11">
        <f>январь!F17+февраль!F17+март!F17+апрель!F17+май!F17+июнь!F17+июль!F17+август!F17+сентябрь!F17+октябрь!F17+ноябрь!F17+декабрь!F17</f>
        <v>68362</v>
      </c>
      <c r="H18" s="145">
        <f>январь!G17+февраль!G17+март!G17+апрель!G17+май!G17+июнь!G17+июль!G17+август!G17+сентябрь!G17+октябрь!G17+ноябрь!G17+декабрь!G17</f>
        <v>248655.65499999997</v>
      </c>
      <c r="I18" s="158" t="s">
        <v>21</v>
      </c>
      <c r="J18" s="158"/>
      <c r="K18" s="11">
        <f>январь!I17+февраль!I17+март!I17+апрель!I17+май!I17+июнь!I17+июль!I17+август!I17+сентябрь!I17+октябрь!I17+ноябрь!I17+декабрь!I17</f>
        <v>120180.45</v>
      </c>
      <c r="L18" s="11" t="s">
        <v>13</v>
      </c>
      <c r="M18" s="11">
        <f>январь!K17+февраль!K17+март!K17+апрель!K17+май!K17+июнь!K17+июль!K17+август!K17+сентябрь!K17+октябрь!K17+ноябрь!K17+декабрь!K17</f>
        <v>68232</v>
      </c>
      <c r="N18" s="145">
        <f>январь!L17+февраль!L17+март!L17+апрель!L17+май!L17+июнь!L17+июль!L17+август!L17+сентябрь!L17+октябрь!L17+ноябрь!L17+декабрь!L17</f>
        <v>251465.4469575</v>
      </c>
      <c r="O18" s="145">
        <f>январь!M17+февраль!M17+март!M17+апрель!M17+май!M17+июнь!M17+июль!M17+август!M17+сентябрь!M17+октябрь!M17+ноябрь!M17+декабрь!M17</f>
        <v>411.04195749998325</v>
      </c>
      <c r="P18" s="145">
        <f>январь!N17+февраль!N17+март!N17+апрель!N17+май!N17+июнь!N17+июль!N17+август!N17+сентябрь!N17+октябрь!N17+ноябрь!N17+декабрь!N17</f>
        <v>250636.57999999996</v>
      </c>
      <c r="Q18" s="145">
        <f>январь!O17+февраль!O17+март!O17+апрель!O17+май!O17+июнь!O17+июль!O17+август!O17+сентябрь!O17+октябрь!O17+ноябрь!O17+декабрь!O17-1.01</f>
        <v>827.8569574999685</v>
      </c>
      <c r="S18">
        <f t="shared" si="0"/>
        <v>168.7399999999907</v>
      </c>
    </row>
    <row r="19" spans="1:19" ht="23.25" customHeight="1">
      <c r="A19" s="147"/>
      <c r="B19" s="147"/>
      <c r="C19" s="162" t="s">
        <v>159</v>
      </c>
      <c r="D19" s="162"/>
      <c r="E19" s="11">
        <f>январь!D18+февраль!D18+март!D18+апрель!D18+май!D18+июнь!D18+июль!D18+август!D18+сентябрь!D18+октябрь!D18+ноябрь!D18+декабрь!D18</f>
        <v>36003.513</v>
      </c>
      <c r="F19" s="16" t="s">
        <v>14</v>
      </c>
      <c r="G19" s="11">
        <f>январь!F18+февраль!F18+март!F18+апрель!F18+май!F18+июнь!F18+июль!F18+август!F18+сентябрь!F18+октябрь!F18+ноябрь!F18+декабрь!F18</f>
        <v>135000</v>
      </c>
      <c r="H19" s="145"/>
      <c r="I19" s="162" t="s">
        <v>159</v>
      </c>
      <c r="J19" s="162"/>
      <c r="K19" s="11">
        <f>январь!I18+февраль!I18+март!I18+апрель!I18+май!I18+июнь!I18+июль!I18+август!I18+сентябрь!I18+октябрь!I18+ноябрь!I18+декабрь!I18</f>
        <v>36054.134999999995</v>
      </c>
      <c r="L19" s="16" t="s">
        <v>14</v>
      </c>
      <c r="M19" s="11">
        <f>январь!K18+февраль!K18+март!K18+апрель!K18+май!K18+июнь!K18+июль!K18+август!K18+сентябрь!K18+октябрь!K18+ноябрь!K18+декабрь!K18</f>
        <v>135000</v>
      </c>
      <c r="N19" s="145"/>
      <c r="O19" s="145"/>
      <c r="P19" s="145"/>
      <c r="Q19" s="145"/>
      <c r="S19">
        <f t="shared" si="0"/>
        <v>50.62199999999575</v>
      </c>
    </row>
    <row r="20" spans="1:19" ht="17.25" customHeight="1">
      <c r="A20" s="147"/>
      <c r="B20" s="147"/>
      <c r="C20" s="159" t="s">
        <v>160</v>
      </c>
      <c r="D20" s="159"/>
      <c r="E20" s="11">
        <f>январь!D19+февраль!D19+март!D19+апрель!D19+май!D19+июнь!D19+июль!D19+август!D19+сентябрь!D19+октябрь!D19+ноябрь!D19+декабрь!D19</f>
        <v>72822.04000000001</v>
      </c>
      <c r="F20" s="11" t="s">
        <v>58</v>
      </c>
      <c r="G20" s="11">
        <f>март!F19+май!F19+июнь!F19</f>
        <v>112969.81</v>
      </c>
      <c r="H20" s="145"/>
      <c r="I20" s="159" t="s">
        <v>165</v>
      </c>
      <c r="J20" s="159"/>
      <c r="K20" s="11">
        <f>январь!I19+февраль!I19+март!I19+апрель!I19+май!I19+июнь!I19+июль!I19+август!I19+сентябрь!I19+октябрь!I19+ноябрь!I19+декабрь!I19</f>
        <v>72829.3527</v>
      </c>
      <c r="L20" s="9" t="s">
        <v>100</v>
      </c>
      <c r="M20" s="11">
        <f>февраль!K19</f>
        <v>0</v>
      </c>
      <c r="N20" s="145"/>
      <c r="O20" s="145"/>
      <c r="P20" s="145"/>
      <c r="Q20" s="145"/>
      <c r="S20">
        <f t="shared" si="0"/>
        <v>7.312699999994948</v>
      </c>
    </row>
    <row r="21" spans="1:19" ht="30" customHeight="1">
      <c r="A21" s="147"/>
      <c r="B21" s="147"/>
      <c r="C21" s="159" t="s">
        <v>160</v>
      </c>
      <c r="D21" s="159"/>
      <c r="E21" s="11">
        <f>январь!D20+февраль!D20+март!D20+апрель!D20+май!D20+июнь!D20+июль!D20+август!D20+сентябрь!D20+октябрь!D20+ноябрь!D20+декабрь!D20</f>
        <v>15961.560000000001</v>
      </c>
      <c r="F21" s="16" t="s">
        <v>100</v>
      </c>
      <c r="G21" s="11">
        <f>февраль!F19</f>
        <v>2268.75</v>
      </c>
      <c r="H21" s="145"/>
      <c r="I21" s="159" t="s">
        <v>166</v>
      </c>
      <c r="J21" s="159"/>
      <c r="K21" s="11">
        <f>январь!I20+февраль!I20+март!I20+апрель!I20+май!I20+июнь!I20+июль!I20+август!I20+сентябрь!I20+октябрь!I20+ноябрь!I20+декабрь!I20</f>
        <v>15983.99985</v>
      </c>
      <c r="L21" s="16" t="s">
        <v>58</v>
      </c>
      <c r="M21" s="11">
        <f>март!K19+май!K19+июнь!K19</f>
        <v>112969.81</v>
      </c>
      <c r="N21" s="145"/>
      <c r="O21" s="145"/>
      <c r="P21" s="145"/>
      <c r="Q21" s="145"/>
      <c r="S21">
        <f t="shared" si="0"/>
        <v>22.43984999999884</v>
      </c>
    </row>
    <row r="22" spans="1:19" ht="12.75" customHeight="1">
      <c r="A22" s="147"/>
      <c r="B22" s="147"/>
      <c r="C22" s="159" t="s">
        <v>131</v>
      </c>
      <c r="D22" s="159"/>
      <c r="E22" s="11">
        <f>май!D21</f>
        <v>8000</v>
      </c>
      <c r="F22" s="11" t="s">
        <v>99</v>
      </c>
      <c r="G22" s="11">
        <f>июль!F19</f>
        <v>59560.99</v>
      </c>
      <c r="H22" s="145"/>
      <c r="I22" s="159" t="s">
        <v>131</v>
      </c>
      <c r="J22" s="159"/>
      <c r="K22" s="11">
        <f>май!I21</f>
        <v>8000</v>
      </c>
      <c r="L22" s="11" t="s">
        <v>99</v>
      </c>
      <c r="M22" s="11">
        <f>июль!K19</f>
        <v>59560.99</v>
      </c>
      <c r="N22" s="145"/>
      <c r="O22" s="145"/>
      <c r="P22" s="145"/>
      <c r="Q22" s="145"/>
      <c r="R22">
        <f>N18-P18</f>
        <v>828.8669575000531</v>
      </c>
      <c r="S22">
        <f t="shared" si="0"/>
        <v>0</v>
      </c>
    </row>
    <row r="23" spans="1:19" ht="18" customHeight="1">
      <c r="A23" s="147"/>
      <c r="B23" s="147"/>
      <c r="C23" s="159" t="s">
        <v>167</v>
      </c>
      <c r="D23" s="159"/>
      <c r="E23" s="11">
        <f>апрель!D21</f>
        <v>52227.58</v>
      </c>
      <c r="F23" s="11"/>
      <c r="G23" s="11"/>
      <c r="H23" s="145"/>
      <c r="I23" s="159" t="s">
        <v>69</v>
      </c>
      <c r="J23" s="159"/>
      <c r="K23" s="11">
        <f>апрель!I21</f>
        <v>52227.58</v>
      </c>
      <c r="L23" s="39"/>
      <c r="M23" s="11"/>
      <c r="N23" s="145"/>
      <c r="O23" s="145"/>
      <c r="P23" s="145"/>
      <c r="Q23" s="145"/>
      <c r="S23">
        <f t="shared" si="0"/>
        <v>0</v>
      </c>
    </row>
    <row r="24" spans="1:19" ht="21.75" customHeight="1">
      <c r="A24" s="147"/>
      <c r="B24" s="147"/>
      <c r="C24" s="159" t="s">
        <v>87</v>
      </c>
      <c r="D24" s="159"/>
      <c r="E24" s="11">
        <f>июнь!D21+июль!D21+август!D21</f>
        <v>85566</v>
      </c>
      <c r="F24" s="11"/>
      <c r="G24" s="11"/>
      <c r="H24" s="145"/>
      <c r="I24" s="159" t="s">
        <v>87</v>
      </c>
      <c r="J24" s="159"/>
      <c r="K24" s="11">
        <f>июнь!I21</f>
        <v>85566</v>
      </c>
      <c r="L24" s="17"/>
      <c r="M24" s="11"/>
      <c r="N24" s="145"/>
      <c r="O24" s="145"/>
      <c r="P24" s="145"/>
      <c r="Q24" s="145"/>
      <c r="S24">
        <f t="shared" si="0"/>
        <v>0</v>
      </c>
    </row>
    <row r="25" spans="1:19" ht="21.75" customHeight="1">
      <c r="A25" s="147"/>
      <c r="B25" s="147"/>
      <c r="C25" s="159" t="s">
        <v>16</v>
      </c>
      <c r="D25" s="159"/>
      <c r="E25" s="11">
        <f>январь!D21+февраль!D21+март!D21+апрель!D22+май!D22+июнь!D22+июль!D22+август!D22+сентябрь!D22+октябрь!D22+ноябрь!D22+декабрь!D22</f>
        <v>164319.23200000002</v>
      </c>
      <c r="F25" s="11"/>
      <c r="G25" s="11"/>
      <c r="H25" s="145"/>
      <c r="I25" s="159" t="s">
        <v>16</v>
      </c>
      <c r="J25" s="159"/>
      <c r="K25" s="11">
        <f>январь!I21+февраль!I21+март!I21+апрель!I22+май!I22+июнь!I22+июль!I22+август!I22+сентябрь!I22+октябрь!I22+ноябрь!I22+декабрь!I22</f>
        <v>164481.1594075</v>
      </c>
      <c r="L25" s="17"/>
      <c r="M25" s="11"/>
      <c r="N25" s="145"/>
      <c r="O25" s="145"/>
      <c r="P25" s="145"/>
      <c r="Q25" s="145"/>
      <c r="S25">
        <f t="shared" si="0"/>
        <v>161.92740749998484</v>
      </c>
    </row>
    <row r="26" spans="1:19" ht="12.75" customHeight="1">
      <c r="A26" s="147"/>
      <c r="B26" s="147"/>
      <c r="C26" s="159" t="s">
        <v>25</v>
      </c>
      <c r="D26" s="159"/>
      <c r="E26" s="11">
        <f>январь!D22</f>
        <v>3653.58</v>
      </c>
      <c r="F26" s="11"/>
      <c r="G26" s="11"/>
      <c r="H26" s="145"/>
      <c r="I26" s="159" t="s">
        <v>25</v>
      </c>
      <c r="J26" s="159"/>
      <c r="K26" s="11">
        <f>январь!I22</f>
        <v>3653.58</v>
      </c>
      <c r="L26" s="17"/>
      <c r="M26" s="11"/>
      <c r="N26" s="145"/>
      <c r="O26" s="145"/>
      <c r="P26" s="145"/>
      <c r="Q26" s="145"/>
      <c r="S26">
        <f t="shared" si="0"/>
        <v>0</v>
      </c>
    </row>
    <row r="27" spans="1:19" ht="18" customHeight="1">
      <c r="A27" s="147"/>
      <c r="B27" s="147"/>
      <c r="C27" s="159" t="s">
        <v>161</v>
      </c>
      <c r="D27" s="159"/>
      <c r="E27" s="11">
        <f>июль!D23</f>
        <v>68251.99</v>
      </c>
      <c r="F27" s="11"/>
      <c r="G27" s="11"/>
      <c r="H27" s="145"/>
      <c r="I27" s="159" t="s">
        <v>161</v>
      </c>
      <c r="J27" s="159"/>
      <c r="K27" s="11">
        <f>июль!I23</f>
        <v>68251.99</v>
      </c>
      <c r="L27" s="17"/>
      <c r="M27" s="11"/>
      <c r="N27" s="145"/>
      <c r="O27" s="145"/>
      <c r="P27" s="145"/>
      <c r="Q27" s="145"/>
      <c r="S27">
        <f t="shared" si="0"/>
        <v>0</v>
      </c>
    </row>
    <row r="28" spans="1:17" ht="12.75" customHeight="1">
      <c r="A28" s="146" t="s">
        <v>19</v>
      </c>
      <c r="B28" s="146"/>
      <c r="C28" s="145">
        <f>январь!C25+февраль!C25+март!C25+апрель!C26+май!C26+июнь!C26+июль!C26+август!C26+сентябрь!C26+октябрь!C26+ноябрь!C26+декабрь!C26</f>
        <v>626817.2050000001</v>
      </c>
      <c r="D28" s="145"/>
      <c r="E28" s="145"/>
      <c r="F28" s="145">
        <f>январь!E25+февраль!E25+март!E25+апрель!E26+май!E26+июнь!E26+июль!E26+август!E26+сентябрь!E26+октябрь!E26+ноябрь!E26+декабрь!E26</f>
        <v>378161.55</v>
      </c>
      <c r="G28" s="145"/>
      <c r="H28" s="145"/>
      <c r="I28" s="145">
        <f>январь!H25+февраль!H25+март!H25+апрель!H26+май!H26+июнь!H26+июль!H26+август!H26+сентябрь!H26+октябрь!H26+ноябрь!H26+декабрь!H26</f>
        <v>627228.2469574999</v>
      </c>
      <c r="J28" s="145" t="e">
        <f>#REF!+#REF!+#REF!+#REF!+#REF!+#REF!+#REF!+#REF!+#REF!+#REF!+#REF!++#REF!</f>
        <v>#REF!</v>
      </c>
      <c r="K28" s="145" t="e">
        <f>январь!I25+#REF!+#REF!+#REF!+#REF!+#REF!+#REF!+#REF!+#REF!+#REF!+#REF!++#REF!</f>
        <v>#REF!</v>
      </c>
      <c r="L28" s="145">
        <f>январь!J25+февраль!J25+март!J25+апрель!J26+май!J26+июнь!J26+июль!J26+август!J26+сентябрь!J26+октябрь!J26+ноябрь!J26+декабрь!J26</f>
        <v>375762.8</v>
      </c>
      <c r="M28" s="145"/>
      <c r="N28" s="145"/>
      <c r="O28" s="145"/>
      <c r="P28" s="145"/>
      <c r="Q28" s="145"/>
    </row>
    <row r="29" spans="1:19" ht="12.75" customHeight="1">
      <c r="A29" s="147" t="s">
        <v>168</v>
      </c>
      <c r="B29" s="147"/>
      <c r="C29" s="158" t="s">
        <v>21</v>
      </c>
      <c r="D29" s="158" t="s">
        <v>169</v>
      </c>
      <c r="E29" s="11">
        <f>январь!D26+февраль!D26+март!D26+апрель!D27+май!D27+июнь!D27+июль!D27+август!D27+сентябрь!D27+октябрь!D27+ноябрь!D27+декабрь!D27</f>
        <v>93346.33000000002</v>
      </c>
      <c r="F29" s="11" t="s">
        <v>13</v>
      </c>
      <c r="G29" s="11">
        <f>январь!F26+февраль!F26+март!F26+апрель!F27+май!F27+июнь!F27+июль!F27+август!F27+сентябрь!F27+октябрь!F27+ноябрь!F27+декабрь!F27</f>
        <v>33653</v>
      </c>
      <c r="H29" s="145">
        <f>январь!G26+февраль!G26+март!G26+апрель!G27+май!G27+июнь!G27+июль!G27+август!G27+сентябрь!G27+октябрь!G27+ноябрь!G27+декабрь!G27</f>
        <v>91091.83000000002</v>
      </c>
      <c r="I29" s="158" t="s">
        <v>21</v>
      </c>
      <c r="J29" s="158" t="s">
        <v>169</v>
      </c>
      <c r="K29" s="11">
        <f>январь!I26+февраль!I26+март!I26+апрель!I27+май!I27+июнь!I27+июль!I27+август!I27+сентябрь!I27+октябрь!I27+ноябрь!I27+декабрь!I27</f>
        <v>93346.33000000002</v>
      </c>
      <c r="L29" s="16" t="s">
        <v>13</v>
      </c>
      <c r="M29" s="44">
        <f>январь!K26+февраль!K26+март!K26+апрель!K27+май!K27+июнь!K27+июль!K27+август!K27+сентябрь!K27+октябрь!K27+ноябрь!K27+декабрь!K27</f>
        <v>33629</v>
      </c>
      <c r="N29" s="145">
        <f>январь!L26+февраль!L26+март!L26+апрель!L27+май!L27+июнь!L27+июль!L27+август!L27+сентябрь!L27+октябрь!L27+ноябрь!L27+декабрь!L27+0.01</f>
        <v>90929.03300000002</v>
      </c>
      <c r="O29" s="145">
        <f>январь!M26+февраль!M26+март!M26+апрель!M27+май!M27+июнь!M27+июль!M27+август!M27+сентябрь!M27+октябрь!M27+ноябрь!M27+декабрь!M27+0.01</f>
        <v>-186.79699999999616</v>
      </c>
      <c r="P29" s="145">
        <f>январь!N26+февраль!N26+март!N26+апрель!N27+май!N27+июнь!N27+июль!N27+август!N27+сентябрь!N27+октябрь!N27+ноябрь!N27+декабрь!N27</f>
        <v>91091.83</v>
      </c>
      <c r="Q29" s="145">
        <f>январь!O26+февраль!O26+март!O26+апрель!O27+май!O27+июнь!O27+июль!O27+август!O27+сентябрь!O27+октябрь!O27+ноябрь!O27+декабрь!O27+0.01</f>
        <v>-162.79699999998627</v>
      </c>
      <c r="S29">
        <f aca="true" t="shared" si="1" ref="S29:S34">K29-E29</f>
        <v>0</v>
      </c>
    </row>
    <row r="30" spans="1:19" ht="20.25" customHeight="1">
      <c r="A30" s="147"/>
      <c r="B30" s="147"/>
      <c r="C30" s="159" t="s">
        <v>27</v>
      </c>
      <c r="D30" s="159"/>
      <c r="E30" s="11">
        <f>январь!D27+февраль!D27+март!D27+апрель!D28+май!D28+июнь!D28+июль!D28+август!D28+сентябрь!D28+октябрь!D28+ноябрь!D28+декабрь!D28</f>
        <v>23270.29</v>
      </c>
      <c r="F30" s="16" t="s">
        <v>14</v>
      </c>
      <c r="G30" s="11">
        <f>январь!F27+февраль!F27+март!F27+апрель!F28+май!F28+июнь!F28+июль!F28+август!F28+сентябрь!F28+октябрь!F28+ноябрь!F28+декабрь!F28</f>
        <v>80000</v>
      </c>
      <c r="H30" s="145"/>
      <c r="I30" s="159" t="s">
        <v>27</v>
      </c>
      <c r="J30" s="159"/>
      <c r="K30" s="11">
        <f>январь!I27+февраль!I27+март!I27+апрель!I28+май!I28+июнь!I28+июль!I28+август!I28+сентябрь!I28+октябрь!I28+ноябрь!I28+декабрь!I28</f>
        <v>20478.29</v>
      </c>
      <c r="L30" s="16" t="s">
        <v>14</v>
      </c>
      <c r="M30" s="44">
        <f>январь!K27+февраль!K27+март!K27+апрель!K28+май!K28+июнь!K28+июль!K28+август!K28+сентябрь!K28+октябрь!K28+ноябрь!K28+декабрь!K28</f>
        <v>80000</v>
      </c>
      <c r="N30" s="145"/>
      <c r="O30" s="145"/>
      <c r="P30" s="145"/>
      <c r="Q30" s="145"/>
      <c r="S30">
        <f t="shared" si="1"/>
        <v>-2792</v>
      </c>
    </row>
    <row r="31" spans="1:19" ht="15" customHeight="1">
      <c r="A31" s="147"/>
      <c r="B31" s="147"/>
      <c r="C31" s="159" t="s">
        <v>170</v>
      </c>
      <c r="D31" s="159"/>
      <c r="E31" s="11">
        <f>март!D28+май!D29+ноябрь!D29</f>
        <v>23550</v>
      </c>
      <c r="F31" s="11" t="s">
        <v>58</v>
      </c>
      <c r="G31" s="11">
        <f>март!F28+май!F29+июнь!F29</f>
        <v>60448.6</v>
      </c>
      <c r="H31" s="145"/>
      <c r="I31" s="159" t="s">
        <v>170</v>
      </c>
      <c r="J31" s="159"/>
      <c r="K31" s="11">
        <f>март!I28+май!I29+ноябрь!I29</f>
        <v>20300</v>
      </c>
      <c r="L31" s="16" t="s">
        <v>58</v>
      </c>
      <c r="M31" s="44">
        <f>март!K28+май!K29+июнь!K29</f>
        <v>60448.6</v>
      </c>
      <c r="N31" s="145"/>
      <c r="O31" s="145"/>
      <c r="P31" s="145"/>
      <c r="Q31" s="145"/>
      <c r="S31">
        <f t="shared" si="1"/>
        <v>-3250</v>
      </c>
    </row>
    <row r="32" spans="1:19" ht="17.25" customHeight="1">
      <c r="A32" s="147"/>
      <c r="B32" s="147"/>
      <c r="C32" s="159" t="s">
        <v>87</v>
      </c>
      <c r="D32" s="159"/>
      <c r="E32" s="11">
        <f>июнь!D29</f>
        <v>46020</v>
      </c>
      <c r="F32" s="11" t="s">
        <v>171</v>
      </c>
      <c r="G32" s="11">
        <f>июль!F29</f>
        <v>32510.39</v>
      </c>
      <c r="H32" s="145"/>
      <c r="I32" s="159" t="s">
        <v>87</v>
      </c>
      <c r="J32" s="159"/>
      <c r="K32" s="11">
        <f>июнь!I29</f>
        <v>46020</v>
      </c>
      <c r="L32" s="16" t="s">
        <v>171</v>
      </c>
      <c r="M32" s="44">
        <f>июль!K29</f>
        <v>32510.39</v>
      </c>
      <c r="N32" s="145"/>
      <c r="O32" s="145"/>
      <c r="P32" s="145"/>
      <c r="Q32" s="145"/>
      <c r="R32">
        <f>N29-P29</f>
        <v>-162.79699999997683</v>
      </c>
      <c r="S32">
        <f t="shared" si="1"/>
        <v>0</v>
      </c>
    </row>
    <row r="33" spans="1:19" ht="19.5" customHeight="1">
      <c r="A33" s="147"/>
      <c r="B33" s="147"/>
      <c r="C33" s="159" t="s">
        <v>16</v>
      </c>
      <c r="D33" s="159"/>
      <c r="E33" s="11">
        <f>январь!D28+февраль!D28+март!D29+апрель!D30+май!D30+июнь!D30+июль!D29+август!D30+сентябрь!D30+октябрь!D30+ноябрь!D30+декабрь!D30</f>
        <v>81325.81</v>
      </c>
      <c r="F33" s="11" t="s">
        <v>131</v>
      </c>
      <c r="G33" s="11">
        <f>ноябрь!F29</f>
        <v>7177</v>
      </c>
      <c r="H33" s="145"/>
      <c r="I33" s="159" t="s">
        <v>16</v>
      </c>
      <c r="J33" s="159"/>
      <c r="K33" s="11">
        <f>январь!I28+февраль!I28+март!I29+апрель!I30+май!I30+июнь!I30+июль!I29+август!I30+сентябрь!I30+октябрь!I30+ноябрь!I30+декабрь!I30</f>
        <v>87181.00300000001</v>
      </c>
      <c r="L33" s="16" t="s">
        <v>131</v>
      </c>
      <c r="M33" s="44">
        <f>ноябрь!K29</f>
        <v>7177</v>
      </c>
      <c r="N33" s="145"/>
      <c r="O33" s="145"/>
      <c r="P33" s="145"/>
      <c r="Q33" s="145"/>
      <c r="S33">
        <f t="shared" si="1"/>
        <v>5855.193000000014</v>
      </c>
    </row>
    <row r="34" spans="1:19" ht="19.5" customHeight="1">
      <c r="A34" s="147"/>
      <c r="B34" s="147"/>
      <c r="C34" s="159" t="s">
        <v>172</v>
      </c>
      <c r="D34" s="159"/>
      <c r="E34" s="11">
        <f>июль!D30</f>
        <v>37368.39</v>
      </c>
      <c r="F34" s="11"/>
      <c r="G34" s="11"/>
      <c r="H34" s="145"/>
      <c r="I34" s="159" t="s">
        <v>172</v>
      </c>
      <c r="J34" s="159"/>
      <c r="K34" s="11">
        <f>июль!I30</f>
        <v>37368.39</v>
      </c>
      <c r="L34" s="39" t="s">
        <v>100</v>
      </c>
      <c r="M34" s="11">
        <f>июль!K30</f>
        <v>0</v>
      </c>
      <c r="N34" s="145"/>
      <c r="O34" s="145"/>
      <c r="P34" s="145"/>
      <c r="Q34" s="145"/>
      <c r="S34">
        <f t="shared" si="1"/>
        <v>0</v>
      </c>
    </row>
    <row r="35" spans="1:17" ht="12.75" customHeight="1">
      <c r="A35" s="146" t="s">
        <v>19</v>
      </c>
      <c r="B35" s="146"/>
      <c r="C35" s="145">
        <f>январь!C31+февраль!C31+март!C32+апрель!C33+май!C33+июнь!C33+июль!C33+август!C33+сентябрь!C33+октябрь!C33+ноябрь!C33+декабрь!C33</f>
        <v>304880.81999999995</v>
      </c>
      <c r="D35" s="145"/>
      <c r="E35" s="145"/>
      <c r="F35" s="145">
        <f>январь!E31+февраль!E31+март!E32+апрель!E33+май!E33+июнь!E33+июль!E33+август!E33+сентябрь!E33+октябрь!E33+ноябрь!E33+декабрь!E33</f>
        <v>213788.99</v>
      </c>
      <c r="G35" s="145"/>
      <c r="H35" s="145"/>
      <c r="I35" s="145">
        <f>январь!H31+февраль!H31+март!H32+апрель!H33+май!H33+июнь!H33+июль!H33+август!H33+сентябрь!H33+октябрь!H33+ноябрь!H33+декабрь!H33</f>
        <v>304694.013</v>
      </c>
      <c r="J35" s="145" t="e">
        <f>#REF!+#REF!+#REF!+#REF!+#REF!+#REF!+#REF!+#REF!+#REF!+#REF!+#REF!+#REF!</f>
        <v>#REF!</v>
      </c>
      <c r="K35" s="145" t="e">
        <f>январь!I31+#REF!+#REF!+#REF!+#REF!+#REF!+#REF!+#REF!+#REF!+#REF!+#REF!+#REF!</f>
        <v>#REF!</v>
      </c>
      <c r="L35" s="145">
        <f>январь!J31+февраль!J31+март!J32+апрель!J33+май!J33+июнь!J33+июль!J33+август!J33+сентябрь!J33+октябрь!J33+ноябрь!J33+декабрь!J33</f>
        <v>213764.99</v>
      </c>
      <c r="M35" s="145"/>
      <c r="N35" s="145"/>
      <c r="O35" s="145"/>
      <c r="P35" s="145"/>
      <c r="Q35" s="145"/>
    </row>
    <row r="36" spans="1:19" ht="12.75" customHeight="1">
      <c r="A36" s="147" t="s">
        <v>173</v>
      </c>
      <c r="B36" s="147"/>
      <c r="C36" s="10" t="s">
        <v>21</v>
      </c>
      <c r="D36" s="18"/>
      <c r="E36" s="11">
        <f>январь!D32+февраль!D32+март!D33+апрель!D34+май!D34+июнь!D34+июль!D34+август!D34+сентябрь!D34+октябрь!D34+ноябрь!D34+декабрь!D34</f>
        <v>153388.91</v>
      </c>
      <c r="F36" s="11" t="s">
        <v>13</v>
      </c>
      <c r="G36" s="11">
        <f>январь!F32+февраль!F32+март!F33+апрель!F34+май!F34+июнь!F34+июль!F34+август!F34+сентябрь!F34+октябрь!F34+ноябрь!F34+декабрь!F34</f>
        <v>50382</v>
      </c>
      <c r="H36" s="145">
        <f>январь!G32+февраль!G32+март!G33+апрель!G34+май!G34+июнь!G34+июль!G34+август!G34+сентябрь!G34+октябрь!G34+ноябрь!G34+декабрь!G34</f>
        <v>192842.58099999998</v>
      </c>
      <c r="I36" s="10" t="s">
        <v>21</v>
      </c>
      <c r="J36" s="18"/>
      <c r="K36" s="11">
        <f>январь!I32+февраль!I32+март!I33+апрель!I34+май!I34+июнь!I34+июль!I34+август!I34+сентябрь!I34+октябрь!I34+ноябрь!I34+декабрь!I34</f>
        <v>153388.91</v>
      </c>
      <c r="L36" s="17" t="s">
        <v>13</v>
      </c>
      <c r="M36" s="11">
        <f>январь!K32+февраль!K32+март!K33+апрель!K34+май!K34+июнь!K34+июль!K34+август!K34+сентябрь!K34+октябрь!K34+ноябрь!K34+декабрь!K34</f>
        <v>51333.03</v>
      </c>
      <c r="N36" s="145">
        <f>январь!L32+февраль!L32+март!L33+апрель!L34+май!L34+июнь!L34+июль!L34+август!L34+сентябрь!L34+октябрь!L34+ноябрь!L34+декабрь!L34</f>
        <v>199203.98799999998</v>
      </c>
      <c r="O36" s="145">
        <f>январь!M32+февраль!M32+март!M33+апрель!M34+май!M34+июнь!M34+июль!M34+август!M34+сентябрь!M34+октябрь!M34+ноябрь!M34+декабрь!M34-0.01</f>
        <v>7312.427000000012</v>
      </c>
      <c r="P36" s="145">
        <f>январь!N32+февраль!N32+март!N33+апрель!N34+май!N34+июнь!N34+июль!N34+август!N34+сентябрь!N34+октябрь!N34+ноябрь!N34+декабрь!N34</f>
        <v>192842.56000000003</v>
      </c>
      <c r="Q36" s="145">
        <f>январь!O32+февраль!O32+март!O33+апрель!O34+май!O34+июнь!O34+июль!O34+август!O34+сентябрь!O34+октябрь!O34+ноябрь!O34+декабрь!O34</f>
        <v>6361.427999999987</v>
      </c>
      <c r="S36">
        <f aca="true" t="shared" si="2" ref="S36:S44">K36-E36</f>
        <v>0</v>
      </c>
    </row>
    <row r="37" spans="1:19" ht="27" customHeight="1">
      <c r="A37" s="147"/>
      <c r="B37" s="147"/>
      <c r="C37" s="160" t="s">
        <v>29</v>
      </c>
      <c r="D37" s="160"/>
      <c r="E37" s="11">
        <f>январь!D33+февраль!D33+март!D34+апрель!D35+май!D35+июнь!D35+июль!D35+август!D35+сентябрь!D35+октябрь!D35+ноябрь!D35+декабрь!D35</f>
        <v>12782.359999999997</v>
      </c>
      <c r="F37" s="16" t="s">
        <v>14</v>
      </c>
      <c r="G37" s="11">
        <f>январь!F33+февраль!F33+март!F34+апрель!F35+май!F35+июнь!F35+июль!F35+август!F35+сентябрь!F35+октябрь!F35+ноябрь!F35+декабрь!F35</f>
        <v>90000</v>
      </c>
      <c r="H37" s="145"/>
      <c r="I37" s="160" t="s">
        <v>29</v>
      </c>
      <c r="J37" s="160"/>
      <c r="K37" s="11">
        <f>январь!I33+февраль!I33+март!I34+апрель!I35+май!I35+июнь!I35+июль!I35+август!I35+сентябрь!I35+октябрь!I35+ноябрь!I35+декабрь!I35</f>
        <v>12782.359999999997</v>
      </c>
      <c r="L37" s="16" t="s">
        <v>14</v>
      </c>
      <c r="M37" s="11">
        <f>январь!K33+февраль!K33+март!K34+апрель!K35+май!K35+июнь!K35+июль!K35+август!K35+сентябрь!K35+октябрь!K35+ноябрь!K35+декабрь!K35</f>
        <v>90000</v>
      </c>
      <c r="N37" s="145"/>
      <c r="O37" s="145"/>
      <c r="P37" s="145"/>
      <c r="Q37" s="145"/>
      <c r="S37">
        <f t="shared" si="2"/>
        <v>0</v>
      </c>
    </row>
    <row r="38" spans="1:19" ht="21" customHeight="1">
      <c r="A38" s="147"/>
      <c r="B38" s="147"/>
      <c r="C38" s="159" t="s">
        <v>170</v>
      </c>
      <c r="D38" s="159"/>
      <c r="E38" s="11">
        <f>февраль!D34+март!D35+май!D36+июнь!D36+сентябрь!D36+ноябрь!D36</f>
        <v>46800</v>
      </c>
      <c r="F38" s="11" t="s">
        <v>58</v>
      </c>
      <c r="G38" s="11">
        <f>июнь!F36</f>
        <v>50880</v>
      </c>
      <c r="H38" s="145"/>
      <c r="I38" s="159" t="s">
        <v>170</v>
      </c>
      <c r="J38" s="159"/>
      <c r="K38" s="11">
        <f>февраль!I34+март!I35+май!I36+июнь!I36+сентябрь!I36+ноябрь!I36</f>
        <v>40300</v>
      </c>
      <c r="L38" s="16" t="s">
        <v>58</v>
      </c>
      <c r="M38" s="44">
        <f>июнь!K36</f>
        <v>50880</v>
      </c>
      <c r="N38" s="145"/>
      <c r="O38" s="145"/>
      <c r="P38" s="145"/>
      <c r="Q38" s="145"/>
      <c r="S38">
        <f t="shared" si="2"/>
        <v>-6500</v>
      </c>
    </row>
    <row r="39" spans="1:19" ht="17.25" customHeight="1">
      <c r="A39" s="147"/>
      <c r="B39" s="147"/>
      <c r="C39" s="161" t="s">
        <v>141</v>
      </c>
      <c r="D39" s="161" t="s">
        <v>141</v>
      </c>
      <c r="E39" s="11">
        <f>декабрь!D36</f>
        <v>0</v>
      </c>
      <c r="F39" s="11" t="s">
        <v>171</v>
      </c>
      <c r="G39" s="11">
        <f>июль!F36</f>
        <v>39966.66</v>
      </c>
      <c r="H39" s="145"/>
      <c r="I39" s="161" t="s">
        <v>141</v>
      </c>
      <c r="J39" s="161" t="s">
        <v>141</v>
      </c>
      <c r="K39" s="11">
        <f>+декабрь!I36</f>
        <v>1322.32</v>
      </c>
      <c r="L39" s="16" t="s">
        <v>171</v>
      </c>
      <c r="M39" s="44">
        <f>июль!K36</f>
        <v>39966.66</v>
      </c>
      <c r="N39" s="145"/>
      <c r="O39" s="145"/>
      <c r="P39" s="145"/>
      <c r="Q39" s="145"/>
      <c r="S39">
        <f t="shared" si="2"/>
        <v>1322.32</v>
      </c>
    </row>
    <row r="40" spans="1:19" ht="15" customHeight="1">
      <c r="A40" s="147"/>
      <c r="B40" s="147"/>
      <c r="C40" s="158" t="s">
        <v>142</v>
      </c>
      <c r="D40" s="158" t="s">
        <v>142</v>
      </c>
      <c r="E40" s="11">
        <f>декабрь!D37</f>
        <v>0</v>
      </c>
      <c r="F40" s="11" t="s">
        <v>131</v>
      </c>
      <c r="G40" s="11">
        <f>ноябрь!F36</f>
        <v>14355</v>
      </c>
      <c r="H40" s="145"/>
      <c r="I40" s="158" t="s">
        <v>142</v>
      </c>
      <c r="J40" s="158" t="s">
        <v>142</v>
      </c>
      <c r="K40" s="11">
        <f>+декабрь!I37</f>
        <v>36.73</v>
      </c>
      <c r="L40" s="16" t="s">
        <v>131</v>
      </c>
      <c r="M40" s="44">
        <f>ноябрь!K36</f>
        <v>14355</v>
      </c>
      <c r="N40" s="145"/>
      <c r="O40" s="145"/>
      <c r="P40" s="145"/>
      <c r="Q40" s="145"/>
      <c r="R40">
        <f>N36-P36</f>
        <v>6361.427999999956</v>
      </c>
      <c r="S40">
        <f t="shared" si="2"/>
        <v>36.73</v>
      </c>
    </row>
    <row r="41" spans="1:19" ht="17.25" customHeight="1">
      <c r="A41" s="147"/>
      <c r="B41" s="147"/>
      <c r="C41" s="159" t="s">
        <v>69</v>
      </c>
      <c r="D41" s="159"/>
      <c r="E41" s="11">
        <f>апрель!D36</f>
        <v>5999.99</v>
      </c>
      <c r="F41" s="16"/>
      <c r="G41" s="11"/>
      <c r="H41" s="145"/>
      <c r="I41" s="159" t="s">
        <v>69</v>
      </c>
      <c r="J41" s="159"/>
      <c r="K41" s="11">
        <f>апрель!I36</f>
        <v>5999.99</v>
      </c>
      <c r="L41" s="39" t="s">
        <v>100</v>
      </c>
      <c r="M41" s="11">
        <f>июль!K37</f>
        <v>0</v>
      </c>
      <c r="N41" s="145"/>
      <c r="O41" s="145"/>
      <c r="P41" s="145"/>
      <c r="Q41" s="145"/>
      <c r="S41">
        <f t="shared" si="2"/>
        <v>0</v>
      </c>
    </row>
    <row r="42" spans="1:19" ht="18" customHeight="1">
      <c r="A42" s="147"/>
      <c r="B42" s="147"/>
      <c r="C42" s="159" t="s">
        <v>87</v>
      </c>
      <c r="D42" s="159"/>
      <c r="E42" s="11">
        <f>июнь!D37</f>
        <v>50880</v>
      </c>
      <c r="F42" s="16"/>
      <c r="G42" s="11"/>
      <c r="H42" s="145"/>
      <c r="I42" s="159" t="s">
        <v>87</v>
      </c>
      <c r="J42" s="159"/>
      <c r="K42" s="11">
        <f>июнь!I37</f>
        <v>50880</v>
      </c>
      <c r="L42" s="16"/>
      <c r="M42" s="11"/>
      <c r="N42" s="145"/>
      <c r="O42" s="145"/>
      <c r="P42" s="145"/>
      <c r="Q42" s="145"/>
      <c r="S42">
        <f t="shared" si="2"/>
        <v>0</v>
      </c>
    </row>
    <row r="43" spans="1:19" ht="18.75" customHeight="1">
      <c r="A43" s="147"/>
      <c r="B43" s="147"/>
      <c r="C43" s="159" t="s">
        <v>16</v>
      </c>
      <c r="D43" s="159"/>
      <c r="E43" s="11">
        <f>январь!D34+февраль!D35+март!D36+апрель!D37+май!D37+июнь!D38+июль!D36+август!D38+сентябрь!D37+октябрь!D37+ноябрь!D37+декабрь!D38</f>
        <v>122636.32099999998</v>
      </c>
      <c r="F43" s="11"/>
      <c r="G43" s="11"/>
      <c r="H43" s="145"/>
      <c r="I43" s="159" t="s">
        <v>16</v>
      </c>
      <c r="J43" s="159"/>
      <c r="K43" s="11">
        <f>январь!I34+февраль!I35+март!I36+апрель!I37+май!I37+июнь!I38+июль!I36+август!I38+сентябрь!I37+октябрь!I37+ноябрь!I37+декабрь!I38</f>
        <v>135089.70799999998</v>
      </c>
      <c r="L43" s="17"/>
      <c r="M43" s="11"/>
      <c r="N43" s="145"/>
      <c r="O43" s="145"/>
      <c r="P43" s="145"/>
      <c r="Q43" s="145"/>
      <c r="S43">
        <f t="shared" si="2"/>
        <v>12453.387000000002</v>
      </c>
    </row>
    <row r="44" spans="1:19" ht="12.75" customHeight="1">
      <c r="A44" s="147"/>
      <c r="B44" s="147"/>
      <c r="C44" s="159" t="s">
        <v>172</v>
      </c>
      <c r="D44" s="159"/>
      <c r="E44" s="11">
        <f>июль!D37</f>
        <v>45938.66</v>
      </c>
      <c r="F44" s="11"/>
      <c r="G44" s="11"/>
      <c r="H44" s="145"/>
      <c r="I44" s="159" t="s">
        <v>172</v>
      </c>
      <c r="J44" s="159"/>
      <c r="K44" s="11">
        <f>июль!I37</f>
        <v>45938.66</v>
      </c>
      <c r="L44" s="17"/>
      <c r="M44" s="11"/>
      <c r="N44" s="145"/>
      <c r="O44" s="145"/>
      <c r="P44" s="145"/>
      <c r="Q44" s="145"/>
      <c r="S44">
        <f t="shared" si="2"/>
        <v>0</v>
      </c>
    </row>
    <row r="45" spans="1:17" ht="7.5" customHeight="1" hidden="1">
      <c r="A45" s="147"/>
      <c r="B45" s="147"/>
      <c r="C45" s="159"/>
      <c r="D45" s="159"/>
      <c r="E45" s="11"/>
      <c r="F45" s="11"/>
      <c r="G45" s="11"/>
      <c r="H45" s="145"/>
      <c r="I45" s="159"/>
      <c r="J45" s="159"/>
      <c r="K45" s="11" t="e">
        <f>#REF!+#REF!+#REF!</f>
        <v>#REF!</v>
      </c>
      <c r="L45" s="17"/>
      <c r="M45" s="11"/>
      <c r="N45" s="145"/>
      <c r="O45" s="145"/>
      <c r="P45" s="145"/>
      <c r="Q45" s="145"/>
    </row>
    <row r="46" spans="1:19" ht="12.75" customHeight="1">
      <c r="A46" s="146" t="s">
        <v>19</v>
      </c>
      <c r="B46" s="146"/>
      <c r="C46" s="145">
        <f>январь!C35+февраль!C36+март!C37+апрель!C38+май!C38+июнь!C39+июль!C39+август!C39+сентябрь!C38+октябрь!C38+ноябрь!C38+декабрь!C39-0.02</f>
        <v>438426.2209999999</v>
      </c>
      <c r="D46" s="145"/>
      <c r="E46" s="145"/>
      <c r="F46" s="145">
        <f>январь!E35+февраль!E36+март!E37+апрель!E38+май!E38+июнь!E39+июль!E39+август!E39+сентябрь!E38+октябрь!E38+ноябрь!E38+декабрь!E39</f>
        <v>245583.66</v>
      </c>
      <c r="G46" s="145"/>
      <c r="H46" s="145"/>
      <c r="I46" s="145">
        <f>январь!H35+февраль!H36+март!H37+апрель!H38+май!H38+июнь!H39+июль!H39+август!H39+сентябрь!H38+октябрь!H38+ноябрь!H38+декабрь!H39</f>
        <v>445738.67799999996</v>
      </c>
      <c r="J46" s="145"/>
      <c r="K46" s="145"/>
      <c r="L46" s="145">
        <f>январь!J35+февраль!J36+март!J37+апрель!J38+май!J38+июнь!J39+июль!J39+август!J39+сентябрь!J38+октябрь!J38+ноябрь!J38+декабрь!J39</f>
        <v>246534.69</v>
      </c>
      <c r="M46" s="145"/>
      <c r="N46" s="145"/>
      <c r="O46" s="145"/>
      <c r="P46" s="145"/>
      <c r="Q46" s="145"/>
      <c r="S46">
        <f aca="true" t="shared" si="3" ref="S46:S55">K46-E46</f>
        <v>0</v>
      </c>
    </row>
    <row r="47" spans="1:19" ht="15.75" customHeight="1">
      <c r="A47" s="154" t="s">
        <v>107</v>
      </c>
      <c r="B47" s="154"/>
      <c r="C47" s="158" t="s">
        <v>21</v>
      </c>
      <c r="D47" s="158"/>
      <c r="E47" s="11">
        <f>июнь!D40+июль!D40+август!D40+ноябрь!D39+декабрь!D40</f>
        <v>12108.220000000001</v>
      </c>
      <c r="F47" s="11" t="s">
        <v>13</v>
      </c>
      <c r="G47" s="11">
        <f>июнь!F40+июль!F40+август!F40+ноябрь!F39+декабрь!F40</f>
        <v>3327</v>
      </c>
      <c r="H47" s="145">
        <f>июнь!G40+июль!G40+август!G40+ноябрь!G39+декабрь!G40</f>
        <v>22267.51</v>
      </c>
      <c r="I47" s="158" t="s">
        <v>21</v>
      </c>
      <c r="J47" s="158"/>
      <c r="K47" s="11">
        <f>июнь!I40+июль!I40+август!I40+ноябрь!I39+декабрь!I40</f>
        <v>12108.220000000001</v>
      </c>
      <c r="L47" s="11" t="s">
        <v>13</v>
      </c>
      <c r="M47" s="11">
        <f>июнь!K40+июль!K40+август!K40+ноябрь!K39+декабрь!K40</f>
        <v>3322</v>
      </c>
      <c r="N47" s="145">
        <f>июнь!L40+июль!L40+август!L40+ноябрь!L39+декабрь!L40</f>
        <v>22232.629999999997</v>
      </c>
      <c r="O47" s="145">
        <f>июнь!M40+июль!M40+август!M40+ноябрь!M39+декабрь!M40</f>
        <v>-39.8799999999992</v>
      </c>
      <c r="P47" s="145">
        <f>июнь!N40+июль!N40+август!N40+ноябрь!N39+декабрь!N40</f>
        <v>22267.51</v>
      </c>
      <c r="Q47" s="145">
        <f>июнь!O40+июль!O40+август!O40+ноябрь!O39+декабрь!O40</f>
        <v>-34.879999999999654</v>
      </c>
      <c r="S47">
        <f t="shared" si="3"/>
        <v>0</v>
      </c>
    </row>
    <row r="48" spans="1:19" ht="16.5" customHeight="1">
      <c r="A48" s="154"/>
      <c r="B48" s="154"/>
      <c r="C48" s="159" t="s">
        <v>27</v>
      </c>
      <c r="D48" s="159"/>
      <c r="E48" s="11">
        <f>июнь!D41+июль!D41+август!D41+ноябрь!D40+декабрь!D41</f>
        <v>3404.7900000000004</v>
      </c>
      <c r="F48" s="11"/>
      <c r="G48" s="11"/>
      <c r="H48" s="145"/>
      <c r="I48" s="159" t="s">
        <v>27</v>
      </c>
      <c r="J48" s="159"/>
      <c r="K48" s="11">
        <f>июнь!I41+июль!I41+август!I41+ноябрь!I40+декабрь!I41</f>
        <v>3380.6200000000003</v>
      </c>
      <c r="L48" s="12"/>
      <c r="M48" s="11"/>
      <c r="N48" s="145"/>
      <c r="O48" s="145"/>
      <c r="P48" s="145"/>
      <c r="Q48" s="145"/>
      <c r="R48">
        <f>N47-P47</f>
        <v>-34.88000000000102</v>
      </c>
      <c r="S48">
        <f t="shared" si="3"/>
        <v>-24.170000000000073</v>
      </c>
    </row>
    <row r="49" spans="1:19" ht="17.25" customHeight="1">
      <c r="A49" s="154"/>
      <c r="B49" s="154"/>
      <c r="C49" s="159" t="s">
        <v>16</v>
      </c>
      <c r="D49" s="159"/>
      <c r="E49" s="11">
        <f>июнь!D42+июль!D42+август!D42+ноябрь!D41+декабрь!D42</f>
        <v>10081.5</v>
      </c>
      <c r="F49" s="11"/>
      <c r="G49" s="11"/>
      <c r="H49" s="145"/>
      <c r="I49" s="159" t="s">
        <v>16</v>
      </c>
      <c r="J49" s="159"/>
      <c r="K49" s="11">
        <f>июнь!I42+июль!I42+август!I42+ноябрь!I41+декабрь!I42</f>
        <v>10065.789999999999</v>
      </c>
      <c r="L49" s="12"/>
      <c r="M49" s="11"/>
      <c r="N49" s="145"/>
      <c r="O49" s="145"/>
      <c r="P49" s="145"/>
      <c r="Q49" s="145"/>
      <c r="S49">
        <f t="shared" si="3"/>
        <v>-15.710000000000946</v>
      </c>
    </row>
    <row r="50" spans="1:19" ht="12.75" customHeight="1">
      <c r="A50" s="146" t="s">
        <v>19</v>
      </c>
      <c r="B50" s="146"/>
      <c r="C50" s="145">
        <f>июнь!C43+июль!C43+август!C43+ноябрь!C43+декабрь!C44</f>
        <v>25594.51</v>
      </c>
      <c r="D50" s="145"/>
      <c r="E50" s="145"/>
      <c r="F50" s="145">
        <f>июнь!E43+июль!E43+август!E43+ноябрь!E43+декабрь!E44</f>
        <v>3327</v>
      </c>
      <c r="G50" s="145"/>
      <c r="H50" s="145"/>
      <c r="I50" s="145">
        <f>июнь!H43+июль!H43+август!H43+ноябрь!H43+декабрь!H44</f>
        <v>25554.629999999997</v>
      </c>
      <c r="J50" s="145"/>
      <c r="K50" s="145"/>
      <c r="L50" s="145">
        <f>июнь!J43+июль!J43+август!J43+ноябрь!J43+декабрь!J44</f>
        <v>3322</v>
      </c>
      <c r="M50" s="145"/>
      <c r="N50" s="145"/>
      <c r="O50" s="145"/>
      <c r="P50" s="145"/>
      <c r="Q50" s="145"/>
      <c r="S50">
        <f t="shared" si="3"/>
        <v>0</v>
      </c>
    </row>
    <row r="51" spans="1:19" ht="12.75" customHeight="1">
      <c r="A51" s="154" t="s">
        <v>174</v>
      </c>
      <c r="B51" s="154"/>
      <c r="C51" s="158" t="s">
        <v>21</v>
      </c>
      <c r="D51" s="158" t="str">
        <f>декабрь!C45</f>
        <v>Оклад по штатному расписанию</v>
      </c>
      <c r="E51" s="11">
        <f>декабрь!D45</f>
        <v>2644.64</v>
      </c>
      <c r="F51" s="11" t="s">
        <v>13</v>
      </c>
      <c r="G51" s="11">
        <f>декабрь!F45</f>
        <v>879</v>
      </c>
      <c r="H51" s="145">
        <f>декабрь!G45</f>
        <v>5884.66</v>
      </c>
      <c r="I51" s="158" t="s">
        <v>21</v>
      </c>
      <c r="J51" s="158"/>
      <c r="K51" s="11">
        <f>декабрь!I45</f>
        <v>2644.64</v>
      </c>
      <c r="L51" s="11" t="s">
        <v>13</v>
      </c>
      <c r="M51" s="11">
        <f>декабрь!K45</f>
        <v>879</v>
      </c>
      <c r="N51" s="145">
        <f>декабрь!L45</f>
        <v>5884.66</v>
      </c>
      <c r="O51" s="145">
        <f>декабрь!M45</f>
        <v>0</v>
      </c>
      <c r="P51" s="145">
        <f>декабрь!N45</f>
        <v>5884.66</v>
      </c>
      <c r="Q51" s="145">
        <f>декабрь!O45</f>
        <v>0</v>
      </c>
      <c r="S51">
        <f t="shared" si="3"/>
        <v>0</v>
      </c>
    </row>
    <row r="52" spans="1:19" ht="20.25" customHeight="1">
      <c r="A52" s="154"/>
      <c r="B52" s="154"/>
      <c r="C52" s="159" t="s">
        <v>145</v>
      </c>
      <c r="D52" s="159"/>
      <c r="E52" s="11">
        <f>декабрь!D46</f>
        <v>1454.55</v>
      </c>
      <c r="F52" s="12"/>
      <c r="G52" s="12"/>
      <c r="H52" s="145"/>
      <c r="I52" s="159" t="s">
        <v>145</v>
      </c>
      <c r="J52" s="159"/>
      <c r="K52" s="11">
        <f>декабрь!I46</f>
        <v>1454.55</v>
      </c>
      <c r="L52" s="12"/>
      <c r="M52" s="12"/>
      <c r="N52" s="145"/>
      <c r="O52" s="145"/>
      <c r="P52" s="145"/>
      <c r="Q52" s="145"/>
      <c r="R52">
        <f>N51-P51</f>
        <v>0</v>
      </c>
      <c r="S52">
        <f t="shared" si="3"/>
        <v>0</v>
      </c>
    </row>
    <row r="53" spans="1:19" ht="19.5" customHeight="1">
      <c r="A53" s="154"/>
      <c r="B53" s="154"/>
      <c r="C53" s="159" t="s">
        <v>16</v>
      </c>
      <c r="D53" s="159"/>
      <c r="E53" s="11">
        <f>декабрь!D47</f>
        <v>2664.47</v>
      </c>
      <c r="F53" s="12"/>
      <c r="G53" s="12"/>
      <c r="H53" s="145"/>
      <c r="I53" s="159" t="s">
        <v>16</v>
      </c>
      <c r="J53" s="159"/>
      <c r="K53" s="11">
        <f>декабрь!I47</f>
        <v>2664.47</v>
      </c>
      <c r="L53" s="12"/>
      <c r="M53" s="12"/>
      <c r="N53" s="145"/>
      <c r="O53" s="145"/>
      <c r="P53" s="145"/>
      <c r="Q53" s="145"/>
      <c r="S53">
        <f t="shared" si="3"/>
        <v>0</v>
      </c>
    </row>
    <row r="54" spans="1:19" ht="12.75" customHeight="1">
      <c r="A54" s="146" t="s">
        <v>19</v>
      </c>
      <c r="B54" s="146"/>
      <c r="C54" s="145">
        <f>декабрь!C49</f>
        <v>6763.66</v>
      </c>
      <c r="D54" s="145"/>
      <c r="E54" s="145"/>
      <c r="F54" s="145">
        <f>декабрь!E49</f>
        <v>879</v>
      </c>
      <c r="G54" s="145"/>
      <c r="H54" s="145"/>
      <c r="I54" s="145">
        <f>декабрь!H49</f>
        <v>6763.66</v>
      </c>
      <c r="J54" s="145"/>
      <c r="K54" s="145"/>
      <c r="L54" s="145">
        <f>декабрь!J49</f>
        <v>879</v>
      </c>
      <c r="M54" s="145"/>
      <c r="N54" s="145"/>
      <c r="O54" s="145"/>
      <c r="P54" s="145"/>
      <c r="Q54" s="145"/>
      <c r="S54">
        <f t="shared" si="3"/>
        <v>0</v>
      </c>
    </row>
    <row r="55" spans="1:19" ht="39" customHeight="1">
      <c r="A55" s="144" t="s">
        <v>175</v>
      </c>
      <c r="B55" s="144"/>
      <c r="C55" s="145">
        <f>январь!C36+февраль!C37+март!C38+апрель!C39+май!C39+июнь!C44+июль!C44+август!C44+сентябрь!C39+октябрь!C39+ноябрь!C44+декабрь!C50</f>
        <v>1641327.5995</v>
      </c>
      <c r="D55" s="145"/>
      <c r="E55" s="145"/>
      <c r="F55" s="145">
        <f>январь!E36+февраль!E37+март!E38+апрель!E39+май!E39+июнь!E44+июль!E44+август!E44+сентябрь!E39+октябрь!E39+ноябрь!E44+декабрь!E50</f>
        <v>1012587.1499999999</v>
      </c>
      <c r="G55" s="145"/>
      <c r="H55" s="12">
        <f>январь!G36+февраль!G37+март!G38+апрель!G39+май!G39+июнь!G44+июль!G44+август!G44+сентябрь!G39+октябрь!G39+ноябрь!G44+декабрь!G50</f>
        <v>628740.4495</v>
      </c>
      <c r="I55" s="145">
        <f>январь!H36+февраль!H37+март!H38+апрель!H39+май!H39+июнь!H44+июль!H44+август!H44+сентябрь!H39+октябрь!H39+ноябрь!H44+декабрь!H50</f>
        <v>1648824.3914575</v>
      </c>
      <c r="J55" s="145"/>
      <c r="K55" s="145"/>
      <c r="L55" s="145">
        <f>январь!J36+февраль!J37+март!J38+апрель!J39+май!J39+июнь!J44+июль!J44+август!J44+сентябрь!J39+октябрь!J39+ноябрь!J44+декабрь!J50</f>
        <v>1011110.4299999999</v>
      </c>
      <c r="M55" s="145"/>
      <c r="N55" s="12">
        <f>январь!L36+февраль!L37+март!L38+апрель!L39+май!L39+июнь!L44+июль!L44+август!L44+сентябрь!L39+октябрь!L39+ноябрь!L44+декабрь!L50</f>
        <v>637713.9614575</v>
      </c>
      <c r="O55" s="12">
        <f>январь!M36+февраль!M37+март!M38+апрель!M39+май!M39+июнь!M44+июль!M44+август!M44+сентябрь!M39+октябрь!M39+ноябрь!M44+декабрь!M50</f>
        <v>7496.7919575000005</v>
      </c>
      <c r="P55" s="12">
        <f>январь!N36+февраль!N37+март!N38+апрель!N39+май!N39+июнь!N44+июль!N44+август!N44+сентябрь!N39+октябрь!N39+ноябрь!N44+декабрь!N50</f>
        <v>633867.06</v>
      </c>
      <c r="Q55" s="12">
        <f>январь!O36+февраль!O37+март!O38+апрель!O39+май!O39+июнь!O44+июль!O44+август!O44+сентябрь!O39+октябрь!O39+ноябрь!O44+декабрь!O50</f>
        <v>7026.591457499977</v>
      </c>
      <c r="S55">
        <f t="shared" si="3"/>
        <v>0</v>
      </c>
    </row>
    <row r="56" spans="4:17" ht="15" hidden="1">
      <c r="D56" s="45">
        <f>C17+C28+C35+C46+C50+C54</f>
        <v>1641327.5795</v>
      </c>
      <c r="F56" s="155">
        <f>F17+F28+F35+F46+F50+F54</f>
        <v>1012587.15</v>
      </c>
      <c r="G56" s="155"/>
      <c r="J56" s="45">
        <f>I17+I28+I35+I46+I50+I54</f>
        <v>1648824.3914574997</v>
      </c>
      <c r="L56" s="155">
        <f>L17+L28+L35+L46+L50+L54</f>
        <v>1011110.4299999999</v>
      </c>
      <c r="M56" s="155"/>
      <c r="Q56" s="47"/>
    </row>
    <row r="57" spans="1:15" ht="15" hidden="1">
      <c r="A57" s="48"/>
      <c r="B57" s="49"/>
      <c r="C57" s="49"/>
      <c r="D57" s="49"/>
      <c r="E57" s="27"/>
      <c r="F57" s="50"/>
      <c r="G57" s="50"/>
      <c r="O57" s="46"/>
    </row>
    <row r="58" spans="1:15" ht="15" hidden="1">
      <c r="A58" s="48"/>
      <c r="B58" s="49"/>
      <c r="C58" s="49"/>
      <c r="D58" s="49"/>
      <c r="E58" s="27"/>
      <c r="F58" s="50"/>
      <c r="G58" s="50"/>
      <c r="J58" s="45">
        <f>I28-K26+I35+I46+I50+I54</f>
        <v>1406325.6479574998</v>
      </c>
      <c r="O58" s="46"/>
    </row>
    <row r="59" spans="1:15" ht="15" hidden="1">
      <c r="A59" s="48"/>
      <c r="B59" s="49"/>
      <c r="C59" s="49"/>
      <c r="D59" s="49"/>
      <c r="E59" s="27"/>
      <c r="F59" s="50"/>
      <c r="G59" s="50"/>
      <c r="J59" s="45">
        <f>J58-K24-K32-K42</f>
        <v>1223859.6479574998</v>
      </c>
      <c r="O59" s="46"/>
    </row>
    <row r="60" spans="1:16" ht="15" hidden="1">
      <c r="A60" s="48"/>
      <c r="B60" s="49"/>
      <c r="C60" s="49"/>
      <c r="D60" s="49"/>
      <c r="E60" s="27"/>
      <c r="F60" s="50"/>
      <c r="G60" s="50"/>
      <c r="L60" t="s">
        <v>176</v>
      </c>
      <c r="M60">
        <f>M10+M13+M19+M22+M30+M32+M33+M37+M39+M40+P55</f>
        <v>1188198.6600000001</v>
      </c>
      <c r="O60" s="46">
        <f>январь!J40+февраль!J41+март!J41+апрель!J42+май!J42+июнь!J47+июль!J47+август!I47+сентябрь!J42+октябрь!J42+ноябрь!J47+декабрь!J53</f>
        <v>1188198.6600000001</v>
      </c>
      <c r="P60">
        <f>O60-M60</f>
        <v>0</v>
      </c>
    </row>
    <row r="61" spans="1:15" ht="15" hidden="1">
      <c r="A61" s="48"/>
      <c r="B61" s="49"/>
      <c r="C61" s="49"/>
      <c r="D61" s="49">
        <f>C55-E42-E32-E24</f>
        <v>1458861.5995</v>
      </c>
      <c r="E61" s="27"/>
      <c r="F61" s="156">
        <v>265186.99</v>
      </c>
      <c r="G61" s="156"/>
      <c r="L61" t="s">
        <v>58</v>
      </c>
      <c r="M61">
        <f>M11+M21+M31+M38</f>
        <v>265186.99</v>
      </c>
      <c r="O61" s="46"/>
    </row>
    <row r="62" spans="1:15" ht="15" hidden="1">
      <c r="A62" s="48"/>
      <c r="B62" s="49"/>
      <c r="C62" s="49"/>
      <c r="D62" s="49"/>
      <c r="E62" s="49"/>
      <c r="F62" s="51"/>
      <c r="G62" s="51"/>
      <c r="O62" s="46"/>
    </row>
    <row r="63" ht="12" customHeight="1">
      <c r="O63" s="46"/>
    </row>
    <row r="64" spans="1:6" ht="24">
      <c r="A64" s="29" t="s">
        <v>41</v>
      </c>
      <c r="B64" s="23" t="s">
        <v>42</v>
      </c>
      <c r="C64" s="23" t="s">
        <v>43</v>
      </c>
      <c r="D64" s="23" t="s">
        <v>44</v>
      </c>
      <c r="E64" s="23" t="s">
        <v>34</v>
      </c>
      <c r="F64" s="52" t="s">
        <v>177</v>
      </c>
    </row>
    <row r="65" spans="1:8" ht="15">
      <c r="A65" s="53">
        <v>111</v>
      </c>
      <c r="B65" s="22" t="s">
        <v>13</v>
      </c>
      <c r="C65" s="22">
        <f>январь!C47+февраль!C48+март!C49+апрель!C50+май!C50+июнь!C55+июль!C55+август!C55+сентябрь!C50+октябрь!C50+ноябрь!C55+декабрь!C61</f>
        <v>187655</v>
      </c>
      <c r="D65" s="22">
        <f>январь!D47+февраль!D48+март!D49+апрель!D50+май!D50+июнь!D55+июль!D55+август!D55+сентябрь!D50+октябрь!D50+ноябрь!D55+декабрь!D61</f>
        <v>188447.03</v>
      </c>
      <c r="E65" s="22">
        <f aca="true" t="shared" si="4" ref="E65:E72">D65-C65</f>
        <v>792.0299999999988</v>
      </c>
      <c r="F65" s="54">
        <v>197453</v>
      </c>
      <c r="G65" s="55"/>
      <c r="H65" s="55"/>
    </row>
    <row r="66" spans="1:8" ht="15">
      <c r="A66" s="157" t="s">
        <v>39</v>
      </c>
      <c r="B66" s="157"/>
      <c r="C66" s="29">
        <f>SUM(C65:C65)</f>
        <v>187655</v>
      </c>
      <c r="D66" s="29">
        <f>SUM(D65:D65)</f>
        <v>188447.03</v>
      </c>
      <c r="E66" s="29">
        <f t="shared" si="4"/>
        <v>792.0299999999988</v>
      </c>
      <c r="F66" s="56">
        <f>F65</f>
        <v>197453</v>
      </c>
      <c r="G66" s="55"/>
      <c r="H66" s="55"/>
    </row>
    <row r="67" spans="1:8" ht="15">
      <c r="A67" s="53">
        <v>119</v>
      </c>
      <c r="B67" s="30">
        <v>0.22</v>
      </c>
      <c r="C67" s="22">
        <f>январь!C49+февраль!C50+март!C51+апрель!C52+май!C52+июнь!C57+июль!C57+август!C57+сентябрь!C52+октябрь!C52+ноябрь!C57+декабрь!C63</f>
        <v>363770.99999999994</v>
      </c>
      <c r="D67" s="22">
        <f>январь!D49+февраль!D50+март!D51+апрель!D52+май!D52+июнь!D57+июль!D57+август!D57+сентябрь!D52+октябрь!D52+ноябрь!D57+декабрь!D63</f>
        <v>360929.92792065</v>
      </c>
      <c r="E67" s="22">
        <f t="shared" si="4"/>
        <v>-2841.0720793499495</v>
      </c>
      <c r="F67" s="54">
        <v>363771.01</v>
      </c>
      <c r="G67" s="55"/>
      <c r="H67" s="55"/>
    </row>
    <row r="68" spans="1:9" ht="15">
      <c r="A68" s="53">
        <v>119</v>
      </c>
      <c r="B68" s="30">
        <v>0.029</v>
      </c>
      <c r="C68" s="22">
        <f>январь!C50+февраль!C51+март!C52+апрель!C53+май!C53+июнь!C58+июль!C58+август!C58+сентябрь!C53+октябрь!C53+ноябрь!C58+декабрь!C64</f>
        <v>40508.770000000004</v>
      </c>
      <c r="D68" s="22">
        <f>январь!D50+февраль!D51+март!D52+апрель!D53+май!D53+июнь!D58+июль!D58+август!D58+сентябрь!D53+октябрь!D53+ноябрь!D58+декабрь!D64</f>
        <v>47577.12686226749</v>
      </c>
      <c r="E68" s="22">
        <f t="shared" si="4"/>
        <v>7068.356862267487</v>
      </c>
      <c r="F68" s="57">
        <v>40097.5</v>
      </c>
      <c r="G68" s="55"/>
      <c r="H68" s="55"/>
      <c r="I68" s="58"/>
    </row>
    <row r="69" spans="1:9" ht="15">
      <c r="A69" s="53">
        <v>119</v>
      </c>
      <c r="B69" s="30">
        <v>0.051</v>
      </c>
      <c r="C69" s="22">
        <f>январь!C51+февраль!C52+март!C53+апрель!C54+май!C54+июнь!C59+июль!C59+август!C59+сентябрь!C54+октябрь!C54+ноябрь!C59+декабрь!C65</f>
        <v>88933.03</v>
      </c>
      <c r="D69" s="22">
        <f>январь!D51+февраль!D52+март!D53+апрель!D54+май!D54+июнь!D59+июль!D59+август!D59+сентябрь!D54+октябрь!D54+ноябрь!D59+декабрь!D65</f>
        <v>83670.1196543325</v>
      </c>
      <c r="E69" s="22">
        <f t="shared" si="4"/>
        <v>-5262.910345667493</v>
      </c>
      <c r="F69" s="54">
        <v>88933.03</v>
      </c>
      <c r="G69" s="55"/>
      <c r="H69" s="55"/>
      <c r="I69" s="58"/>
    </row>
    <row r="70" spans="1:9" ht="15">
      <c r="A70" s="53">
        <v>119</v>
      </c>
      <c r="B70" s="30">
        <v>0.002</v>
      </c>
      <c r="C70" s="22">
        <f>январь!C52+февраль!C53+март!C54+апрель!C55+май!C55+июнь!C60+июль!C60+август!C60+сентябрь!C55+октябрь!C55+ноябрь!C60+декабрь!C66</f>
        <v>4205.41</v>
      </c>
      <c r="D70" s="22">
        <f>январь!D52+февраль!D53+март!D54+апрель!D55+май!D55+июнь!D60+июль!D60+август!D60+сентябрь!D55+октябрь!D55+ноябрь!D60+декабрь!D66</f>
        <v>3281.1811629150006</v>
      </c>
      <c r="E70" s="22">
        <f t="shared" si="4"/>
        <v>-924.2288370849992</v>
      </c>
      <c r="F70" s="57">
        <v>4616.68</v>
      </c>
      <c r="G70" s="55"/>
      <c r="H70" s="55"/>
      <c r="I70" s="58"/>
    </row>
    <row r="71" spans="1:9" ht="15">
      <c r="A71" s="143" t="s">
        <v>39</v>
      </c>
      <c r="B71" s="143"/>
      <c r="C71" s="32">
        <f>SUM(C67:C70)</f>
        <v>497418.2099999999</v>
      </c>
      <c r="D71" s="32">
        <f>SUM(D67:D70)</f>
        <v>495458.355600165</v>
      </c>
      <c r="E71" s="22">
        <f t="shared" si="4"/>
        <v>-1959.854399834876</v>
      </c>
      <c r="F71" s="59">
        <f>SUM(F67:F70)</f>
        <v>497418.22000000003</v>
      </c>
      <c r="G71" s="55"/>
      <c r="H71" s="55"/>
      <c r="I71" s="58"/>
    </row>
    <row r="72" spans="1:10" ht="15">
      <c r="A72" s="142" t="s">
        <v>45</v>
      </c>
      <c r="B72" s="142"/>
      <c r="C72" s="29">
        <f>C66+C71</f>
        <v>685073.21</v>
      </c>
      <c r="D72" s="29">
        <f>D66+D71</f>
        <v>683905.385600165</v>
      </c>
      <c r="E72" s="29">
        <f t="shared" si="4"/>
        <v>-1167.8243998349644</v>
      </c>
      <c r="F72" s="29">
        <f>F66+F71</f>
        <v>694871.22</v>
      </c>
      <c r="G72" s="33"/>
      <c r="H72" s="33"/>
      <c r="I72" s="33"/>
      <c r="J72" s="33"/>
    </row>
    <row r="73" ht="15">
      <c r="A73" s="48"/>
    </row>
    <row r="74" spans="2:6" ht="15">
      <c r="B74" s="49"/>
      <c r="C74" s="49"/>
      <c r="D74" s="49"/>
      <c r="E74" s="49"/>
      <c r="F74" s="51"/>
    </row>
    <row r="75" spans="1:11" ht="15">
      <c r="A75" s="48"/>
      <c r="B75" s="60"/>
      <c r="C75" s="61"/>
      <c r="D75" s="62"/>
      <c r="G75" s="63"/>
      <c r="H75" s="63"/>
      <c r="I75" s="63"/>
      <c r="J75" s="63"/>
      <c r="K75" s="63"/>
    </row>
    <row r="76" spans="2:11" ht="15">
      <c r="B76" s="60"/>
      <c r="C76" s="49"/>
      <c r="D76" s="51"/>
      <c r="F76" s="51"/>
      <c r="G76" s="63"/>
      <c r="H76" s="63"/>
      <c r="I76" s="63"/>
      <c r="J76" s="21"/>
      <c r="K76" s="21"/>
    </row>
    <row r="77" spans="1:11" ht="15">
      <c r="A77" s="48"/>
      <c r="B77" s="60"/>
      <c r="D77" s="62"/>
      <c r="G77" s="63"/>
      <c r="H77" s="63"/>
      <c r="I77" s="21"/>
      <c r="J77" s="21"/>
      <c r="K77" s="21"/>
    </row>
    <row r="78" spans="2:11" ht="15">
      <c r="B78" s="60"/>
      <c r="C78" s="49"/>
      <c r="D78" s="51"/>
      <c r="F78" s="51"/>
      <c r="G78" s="63"/>
      <c r="H78" s="63"/>
      <c r="I78" s="21"/>
      <c r="J78" s="21"/>
      <c r="K78" s="21"/>
    </row>
    <row r="79" spans="1:11" ht="15">
      <c r="A79" s="48"/>
      <c r="D79" s="62"/>
      <c r="G79" s="63"/>
      <c r="H79" s="63"/>
      <c r="I79" s="21"/>
      <c r="J79" s="21"/>
      <c r="K79" s="21"/>
    </row>
    <row r="80" spans="2:11" ht="15">
      <c r="B80" s="49"/>
      <c r="C80" s="49"/>
      <c r="D80" s="49"/>
      <c r="E80" s="49"/>
      <c r="F80" s="51"/>
      <c r="G80" s="63"/>
      <c r="H80" s="63"/>
      <c r="I80" s="21"/>
      <c r="J80" s="21"/>
      <c r="K80" s="21"/>
    </row>
    <row r="81" spans="1:11" ht="15">
      <c r="A81" s="48"/>
      <c r="G81" s="63"/>
      <c r="H81" s="63"/>
      <c r="I81" s="21"/>
      <c r="J81" s="21"/>
      <c r="K81" s="21"/>
    </row>
    <row r="82" spans="2:11" ht="15">
      <c r="B82" s="63"/>
      <c r="C82" s="63"/>
      <c r="D82" s="63"/>
      <c r="E82" s="63"/>
      <c r="F82" s="63"/>
      <c r="G82" s="63"/>
      <c r="H82" s="63"/>
      <c r="I82" s="21"/>
      <c r="J82" s="21"/>
      <c r="K82" s="21"/>
    </row>
    <row r="83" spans="2:11" ht="15">
      <c r="B83" s="63"/>
      <c r="C83" s="63"/>
      <c r="D83" s="63"/>
      <c r="E83" s="63"/>
      <c r="F83" s="63"/>
      <c r="G83" s="63"/>
      <c r="H83" s="63"/>
      <c r="I83" s="21"/>
      <c r="J83" s="21"/>
      <c r="K83" s="21"/>
    </row>
    <row r="84" spans="2:11" ht="15">
      <c r="B84" s="63"/>
      <c r="C84" s="63"/>
      <c r="D84" s="63"/>
      <c r="E84" s="63"/>
      <c r="F84" s="63"/>
      <c r="G84" s="63"/>
      <c r="H84" s="63"/>
      <c r="I84" s="21"/>
      <c r="J84" s="21"/>
      <c r="K84" s="21"/>
    </row>
    <row r="85" spans="2:11" ht="15">
      <c r="B85" s="63"/>
      <c r="C85" s="63"/>
      <c r="D85" s="63"/>
      <c r="E85" s="63"/>
      <c r="F85" s="63"/>
      <c r="G85" s="63"/>
      <c r="H85" s="63"/>
      <c r="I85" s="21"/>
      <c r="J85" s="21"/>
      <c r="K85" s="21"/>
    </row>
    <row r="86" spans="2:11" ht="15">
      <c r="B86" s="63"/>
      <c r="C86" s="63"/>
      <c r="D86" s="63"/>
      <c r="E86" s="63"/>
      <c r="F86" s="63"/>
      <c r="G86" s="63"/>
      <c r="H86" s="63"/>
      <c r="I86" s="21"/>
      <c r="J86" s="21"/>
      <c r="K86" s="21"/>
    </row>
    <row r="87" spans="2:11" ht="15">
      <c r="B87" s="63"/>
      <c r="C87" s="63"/>
      <c r="D87" s="63"/>
      <c r="E87" s="63"/>
      <c r="F87" s="63"/>
      <c r="G87" s="63"/>
      <c r="H87" s="63"/>
      <c r="I87" s="21"/>
      <c r="J87" s="21"/>
      <c r="K87" s="21"/>
    </row>
    <row r="88" spans="2:11" ht="15">
      <c r="B88" s="63"/>
      <c r="C88" s="64"/>
      <c r="D88" s="63"/>
      <c r="E88" s="63"/>
      <c r="F88" s="63"/>
      <c r="G88" s="63"/>
      <c r="H88" s="63"/>
      <c r="I88" s="21"/>
      <c r="J88" s="21"/>
      <c r="K88" s="21"/>
    </row>
    <row r="89" spans="2:11" ht="15">
      <c r="B89" s="63"/>
      <c r="C89" s="64"/>
      <c r="D89" s="63"/>
      <c r="E89" s="63"/>
      <c r="F89" s="63"/>
      <c r="G89" s="63"/>
      <c r="H89" s="63"/>
      <c r="I89" s="21"/>
      <c r="J89" s="21"/>
      <c r="K89" s="21"/>
    </row>
    <row r="90" spans="2:11" ht="15">
      <c r="B90" s="63"/>
      <c r="C90" s="63"/>
      <c r="D90" s="63"/>
      <c r="E90" s="63"/>
      <c r="F90" s="63"/>
      <c r="G90" s="63"/>
      <c r="H90" s="63"/>
      <c r="I90" s="21"/>
      <c r="J90" s="21"/>
      <c r="K90" s="21"/>
    </row>
    <row r="91" spans="2:16" ht="15">
      <c r="B91" s="63"/>
      <c r="C91" s="63"/>
      <c r="D91" s="63"/>
      <c r="E91" s="63"/>
      <c r="F91" s="63"/>
      <c r="G91" s="65"/>
      <c r="H91" s="65"/>
      <c r="I91" s="21"/>
      <c r="J91" s="65"/>
      <c r="K91" s="65"/>
      <c r="L91" s="65"/>
      <c r="M91" s="65"/>
      <c r="P91" s="65"/>
    </row>
  </sheetData>
  <sheetProtection/>
  <mergeCells count="174">
    <mergeCell ref="Q5:Q7"/>
    <mergeCell ref="C6:E6"/>
    <mergeCell ref="F6:G6"/>
    <mergeCell ref="H6:H7"/>
    <mergeCell ref="I6:K6"/>
    <mergeCell ref="L6:M6"/>
    <mergeCell ref="N6:N7"/>
    <mergeCell ref="C7:D7"/>
    <mergeCell ref="I7:J7"/>
    <mergeCell ref="N9:N17"/>
    <mergeCell ref="O9:O17"/>
    <mergeCell ref="A17:B17"/>
    <mergeCell ref="P1:Q1"/>
    <mergeCell ref="A3:Q3"/>
    <mergeCell ref="A5:B7"/>
    <mergeCell ref="C5:H5"/>
    <mergeCell ref="I5:N5"/>
    <mergeCell ref="O5:O7"/>
    <mergeCell ref="P5:P7"/>
    <mergeCell ref="L17:M17"/>
    <mergeCell ref="A8:B8"/>
    <mergeCell ref="C8:D8"/>
    <mergeCell ref="I8:J8"/>
    <mergeCell ref="A9:B16"/>
    <mergeCell ref="C9:D9"/>
    <mergeCell ref="H9:H17"/>
    <mergeCell ref="I9:J9"/>
    <mergeCell ref="C15:D15"/>
    <mergeCell ref="I15:J15"/>
    <mergeCell ref="C16:D16"/>
    <mergeCell ref="I16:J16"/>
    <mergeCell ref="C17:E17"/>
    <mergeCell ref="F17:G17"/>
    <mergeCell ref="I17:K17"/>
    <mergeCell ref="C12:D12"/>
    <mergeCell ref="I12:J12"/>
    <mergeCell ref="C13:D13"/>
    <mergeCell ref="I13:J13"/>
    <mergeCell ref="C14:D14"/>
    <mergeCell ref="I14:J14"/>
    <mergeCell ref="C25:D25"/>
    <mergeCell ref="I25:J25"/>
    <mergeCell ref="C26:D26"/>
    <mergeCell ref="I26:J26"/>
    <mergeCell ref="P9:P17"/>
    <mergeCell ref="Q9:Q17"/>
    <mergeCell ref="C10:D10"/>
    <mergeCell ref="I10:J10"/>
    <mergeCell ref="C11:D11"/>
    <mergeCell ref="I11:J11"/>
    <mergeCell ref="P18:P28"/>
    <mergeCell ref="Q18:Q28"/>
    <mergeCell ref="C19:D19"/>
    <mergeCell ref="I19:J19"/>
    <mergeCell ref="C20:D20"/>
    <mergeCell ref="I20:J20"/>
    <mergeCell ref="C21:D21"/>
    <mergeCell ref="I21:J21"/>
    <mergeCell ref="C22:D22"/>
    <mergeCell ref="I22:J22"/>
    <mergeCell ref="A18:B27"/>
    <mergeCell ref="C18:D18"/>
    <mergeCell ref="H18:H28"/>
    <mergeCell ref="I18:J18"/>
    <mergeCell ref="N18:N28"/>
    <mergeCell ref="O18:O28"/>
    <mergeCell ref="C23:D23"/>
    <mergeCell ref="I23:J23"/>
    <mergeCell ref="C24:D24"/>
    <mergeCell ref="I24:J24"/>
    <mergeCell ref="A28:B28"/>
    <mergeCell ref="C28:E28"/>
    <mergeCell ref="F28:G28"/>
    <mergeCell ref="I28:K28"/>
    <mergeCell ref="L28:M28"/>
    <mergeCell ref="A29:B34"/>
    <mergeCell ref="C29:D29"/>
    <mergeCell ref="H29:H35"/>
    <mergeCell ref="I29:J29"/>
    <mergeCell ref="A35:B35"/>
    <mergeCell ref="C35:E35"/>
    <mergeCell ref="F35:G35"/>
    <mergeCell ref="I35:K35"/>
    <mergeCell ref="L35:M35"/>
    <mergeCell ref="C27:D27"/>
    <mergeCell ref="I27:J27"/>
    <mergeCell ref="C32:D32"/>
    <mergeCell ref="I32:J32"/>
    <mergeCell ref="C33:D33"/>
    <mergeCell ref="I33:J33"/>
    <mergeCell ref="C34:D34"/>
    <mergeCell ref="I34:J34"/>
    <mergeCell ref="C45:D45"/>
    <mergeCell ref="I45:J45"/>
    <mergeCell ref="N29:N35"/>
    <mergeCell ref="O29:O35"/>
    <mergeCell ref="P29:P35"/>
    <mergeCell ref="Q29:Q35"/>
    <mergeCell ref="C30:D30"/>
    <mergeCell ref="I30:J30"/>
    <mergeCell ref="C31:D31"/>
    <mergeCell ref="I31:J31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A36:B45"/>
    <mergeCell ref="H36:H46"/>
    <mergeCell ref="N36:N46"/>
    <mergeCell ref="O36:O46"/>
    <mergeCell ref="P36:P46"/>
    <mergeCell ref="Q36:Q46"/>
    <mergeCell ref="C37:D37"/>
    <mergeCell ref="I37:J37"/>
    <mergeCell ref="C38:D38"/>
    <mergeCell ref="I38:J38"/>
    <mergeCell ref="A46:B46"/>
    <mergeCell ref="C46:E46"/>
    <mergeCell ref="F46:G46"/>
    <mergeCell ref="I46:K46"/>
    <mergeCell ref="L46:M46"/>
    <mergeCell ref="A47:B49"/>
    <mergeCell ref="C47:D47"/>
    <mergeCell ref="H47:H50"/>
    <mergeCell ref="I47:J47"/>
    <mergeCell ref="C48:D48"/>
    <mergeCell ref="I48:J48"/>
    <mergeCell ref="C49:D49"/>
    <mergeCell ref="I49:J49"/>
    <mergeCell ref="A50:B50"/>
    <mergeCell ref="C50:E50"/>
    <mergeCell ref="F50:G50"/>
    <mergeCell ref="I50:K50"/>
    <mergeCell ref="I54:K54"/>
    <mergeCell ref="L54:M54"/>
    <mergeCell ref="N47:N50"/>
    <mergeCell ref="O47:O50"/>
    <mergeCell ref="P47:P50"/>
    <mergeCell ref="Q47:Q50"/>
    <mergeCell ref="L50:M50"/>
    <mergeCell ref="N51:N54"/>
    <mergeCell ref="O51:O54"/>
    <mergeCell ref="P51:P54"/>
    <mergeCell ref="Q51:Q54"/>
    <mergeCell ref="C52:D52"/>
    <mergeCell ref="I52:J52"/>
    <mergeCell ref="C53:D53"/>
    <mergeCell ref="I53:J53"/>
    <mergeCell ref="C54:E54"/>
    <mergeCell ref="F54:G54"/>
    <mergeCell ref="L55:M55"/>
    <mergeCell ref="F56:G56"/>
    <mergeCell ref="L56:M56"/>
    <mergeCell ref="F61:G61"/>
    <mergeCell ref="A66:B66"/>
    <mergeCell ref="A51:B53"/>
    <mergeCell ref="C51:D51"/>
    <mergeCell ref="H51:H54"/>
    <mergeCell ref="I51:J51"/>
    <mergeCell ref="A54:B54"/>
    <mergeCell ref="A71:B71"/>
    <mergeCell ref="A72:B72"/>
    <mergeCell ref="A55:B55"/>
    <mergeCell ref="C55:E55"/>
    <mergeCell ref="F55:G55"/>
    <mergeCell ref="I55:K55"/>
  </mergeCells>
  <printOptions/>
  <pageMargins left="0.7875" right="0.39375" top="0.196527777777778" bottom="0.196527777777778" header="0.511805555555555" footer="0.51180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J3" sqref="J3"/>
    </sheetView>
  </sheetViews>
  <sheetFormatPr defaultColWidth="12.8515625" defaultRowHeight="15"/>
  <cols>
    <col min="1" max="1" width="18.140625" style="0" customWidth="1"/>
    <col min="2" max="2" width="9.421875" style="0" customWidth="1"/>
  </cols>
  <sheetData>
    <row r="1" spans="1:19" ht="15">
      <c r="A1" s="66" t="s">
        <v>181</v>
      </c>
      <c r="B1" s="67" t="s">
        <v>1</v>
      </c>
      <c r="C1" s="67" t="s">
        <v>182</v>
      </c>
      <c r="D1" s="67" t="s">
        <v>183</v>
      </c>
      <c r="E1" s="67" t="s">
        <v>184</v>
      </c>
      <c r="F1" s="67" t="s">
        <v>185</v>
      </c>
      <c r="G1" s="67" t="s">
        <v>186</v>
      </c>
      <c r="H1" s="67" t="s">
        <v>187</v>
      </c>
      <c r="I1" s="67" t="s">
        <v>188</v>
      </c>
      <c r="J1" s="67" t="s">
        <v>189</v>
      </c>
      <c r="K1" s="67" t="s">
        <v>190</v>
      </c>
      <c r="L1" s="67" t="s">
        <v>191</v>
      </c>
      <c r="M1" s="67" t="s">
        <v>192</v>
      </c>
      <c r="N1" s="67" t="s">
        <v>39</v>
      </c>
      <c r="O1" s="68" t="s">
        <v>193</v>
      </c>
      <c r="R1" t="s">
        <v>194</v>
      </c>
      <c r="S1" t="s">
        <v>195</v>
      </c>
    </row>
    <row r="2" spans="1:19" ht="15">
      <c r="A2" s="69" t="s">
        <v>196</v>
      </c>
      <c r="B2" s="67"/>
      <c r="C2" s="67"/>
      <c r="D2" s="67"/>
      <c r="E2" s="67"/>
      <c r="F2" s="67"/>
      <c r="G2" s="67"/>
      <c r="H2" s="67"/>
      <c r="I2" s="67"/>
      <c r="J2" s="67">
        <f>325.39+70218.14-65336.14</f>
        <v>5207.389999999999</v>
      </c>
      <c r="K2" s="67"/>
      <c r="L2" s="67">
        <v>42500.07</v>
      </c>
      <c r="M2" s="67">
        <f>-26000.07+154557.39-109584.25-140779.31</f>
        <v>-121806.23999999999</v>
      </c>
      <c r="N2" s="67">
        <f aca="true" t="shared" si="0" ref="N2:N15">SUM(B2:M2)</f>
        <v>-74098.78</v>
      </c>
      <c r="O2" s="68"/>
      <c r="R2">
        <v>116119</v>
      </c>
      <c r="S2">
        <v>115526.26</v>
      </c>
    </row>
    <row r="3" spans="1:19" ht="15">
      <c r="A3" s="70" t="s">
        <v>197</v>
      </c>
      <c r="B3" s="67"/>
      <c r="C3" s="67"/>
      <c r="D3" s="67"/>
      <c r="E3" s="67"/>
      <c r="F3" s="67"/>
      <c r="G3" s="67"/>
      <c r="H3" s="67"/>
      <c r="I3" s="67"/>
      <c r="J3" s="67">
        <f>-30979.46+156592.2-3659</f>
        <v>121953.74000000002</v>
      </c>
      <c r="K3" s="67">
        <f>40925.26</f>
        <v>40925.26</v>
      </c>
      <c r="L3" s="67"/>
      <c r="M3" s="67">
        <v>15365</v>
      </c>
      <c r="N3" s="67">
        <f t="shared" si="0"/>
        <v>178244.00000000003</v>
      </c>
      <c r="O3" s="68"/>
      <c r="R3">
        <v>9990.76</v>
      </c>
      <c r="S3">
        <v>9990</v>
      </c>
    </row>
    <row r="4" spans="1:19" ht="15">
      <c r="A4" s="70" t="s">
        <v>198</v>
      </c>
      <c r="B4" s="67">
        <v>64282.5</v>
      </c>
      <c r="C4" s="67">
        <v>108263.89</v>
      </c>
      <c r="D4" s="67">
        <v>124140.79</v>
      </c>
      <c r="E4" s="67">
        <v>166583.76</v>
      </c>
      <c r="F4" s="67">
        <v>153479.93</v>
      </c>
      <c r="G4" s="67">
        <v>119904.24</v>
      </c>
      <c r="H4" s="67">
        <v>177255.23</v>
      </c>
      <c r="I4" s="67">
        <v>62913.63</v>
      </c>
      <c r="J4" s="67">
        <f>-120238.61+119906.19</f>
        <v>-332.41999999999825</v>
      </c>
      <c r="K4" s="67">
        <v>67390.93</v>
      </c>
      <c r="L4" s="67">
        <v>104040.03</v>
      </c>
      <c r="M4" s="67">
        <f>283259.38-103954.82</f>
        <v>179304.56</v>
      </c>
      <c r="N4" s="67">
        <f t="shared" si="0"/>
        <v>1327227.07</v>
      </c>
      <c r="O4" s="68"/>
      <c r="R4">
        <v>171553.26</v>
      </c>
      <c r="S4">
        <v>158133.42</v>
      </c>
    </row>
    <row r="5" spans="1:19" ht="15">
      <c r="A5" s="71" t="s">
        <v>199</v>
      </c>
      <c r="B5" s="72">
        <f aca="true" t="shared" si="1" ref="B5:M5">SUM(B2:B4)</f>
        <v>64282.5</v>
      </c>
      <c r="C5" s="72">
        <f t="shared" si="1"/>
        <v>108263.89</v>
      </c>
      <c r="D5" s="72">
        <f t="shared" si="1"/>
        <v>124140.79</v>
      </c>
      <c r="E5" s="72">
        <f t="shared" si="1"/>
        <v>166583.76</v>
      </c>
      <c r="F5" s="72">
        <f t="shared" si="1"/>
        <v>153479.93</v>
      </c>
      <c r="G5" s="72">
        <f t="shared" si="1"/>
        <v>119904.24</v>
      </c>
      <c r="H5" s="72">
        <f t="shared" si="1"/>
        <v>177255.23</v>
      </c>
      <c r="I5" s="72">
        <f t="shared" si="1"/>
        <v>62913.63</v>
      </c>
      <c r="J5" s="72">
        <f t="shared" si="1"/>
        <v>126828.71000000002</v>
      </c>
      <c r="K5" s="72">
        <f t="shared" si="1"/>
        <v>108316.19</v>
      </c>
      <c r="L5" s="72">
        <f t="shared" si="1"/>
        <v>146540.1</v>
      </c>
      <c r="M5" s="72">
        <f t="shared" si="1"/>
        <v>72863.32</v>
      </c>
      <c r="N5" s="72">
        <f t="shared" si="0"/>
        <v>1431372.29</v>
      </c>
      <c r="O5" s="68"/>
      <c r="S5">
        <f>S4+S3+S2</f>
        <v>283649.68</v>
      </c>
    </row>
    <row r="6" spans="1:16" ht="15">
      <c r="A6" s="6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>
        <f t="shared" si="0"/>
        <v>0</v>
      </c>
      <c r="O6" s="68"/>
      <c r="P6">
        <f>N6-O6</f>
        <v>0</v>
      </c>
    </row>
    <row r="7" spans="1:15" ht="15">
      <c r="A7" s="69" t="s">
        <v>196</v>
      </c>
      <c r="B7" s="67"/>
      <c r="C7" s="67"/>
      <c r="D7" s="67"/>
      <c r="E7" s="67"/>
      <c r="F7" s="67"/>
      <c r="G7" s="67"/>
      <c r="H7" s="67"/>
      <c r="I7" s="67"/>
      <c r="J7" s="67">
        <v>4882</v>
      </c>
      <c r="K7" s="67"/>
      <c r="L7" s="67">
        <v>5525</v>
      </c>
      <c r="M7" s="67">
        <f>-2647</f>
        <v>-2647</v>
      </c>
      <c r="N7" s="67">
        <f t="shared" si="0"/>
        <v>7760</v>
      </c>
      <c r="O7" s="68"/>
    </row>
    <row r="8" spans="1:15" ht="15">
      <c r="A8" s="70" t="s">
        <v>197</v>
      </c>
      <c r="B8" s="67"/>
      <c r="C8" s="67"/>
      <c r="D8" s="67"/>
      <c r="E8" s="67"/>
      <c r="F8" s="67"/>
      <c r="G8" s="67"/>
      <c r="H8" s="67"/>
      <c r="I8" s="67"/>
      <c r="J8" s="67">
        <f>20357-3659</f>
        <v>16698</v>
      </c>
      <c r="K8" s="67">
        <v>5325</v>
      </c>
      <c r="L8" s="67"/>
      <c r="M8" s="67">
        <v>365</v>
      </c>
      <c r="N8" s="67">
        <f t="shared" si="0"/>
        <v>22388</v>
      </c>
      <c r="O8" s="68"/>
    </row>
    <row r="9" spans="1:15" ht="15">
      <c r="A9" s="70" t="s">
        <v>198</v>
      </c>
      <c r="B9" s="67">
        <v>8175</v>
      </c>
      <c r="C9" s="67">
        <v>13892</v>
      </c>
      <c r="D9" s="67">
        <v>15957</v>
      </c>
      <c r="E9" s="67">
        <v>21474</v>
      </c>
      <c r="F9" s="67">
        <v>19770</v>
      </c>
      <c r="G9" s="67">
        <v>15407</v>
      </c>
      <c r="H9" s="67">
        <f>-33429+22862</f>
        <v>-10567</v>
      </c>
      <c r="I9" s="67">
        <v>8229</v>
      </c>
      <c r="J9" s="67">
        <f>15457</f>
        <v>15457</v>
      </c>
      <c r="K9" s="67">
        <v>8630</v>
      </c>
      <c r="L9" s="67">
        <v>12271</v>
      </c>
      <c r="M9" s="67">
        <f>-6944</f>
        <v>-6944</v>
      </c>
      <c r="N9" s="67">
        <f t="shared" si="0"/>
        <v>121751</v>
      </c>
      <c r="O9" s="68"/>
    </row>
    <row r="10" spans="1:16" ht="15">
      <c r="A10" s="72" t="s">
        <v>199</v>
      </c>
      <c r="B10" s="72">
        <f aca="true" t="shared" si="2" ref="B10:M10">SUM(B7:B9)</f>
        <v>8175</v>
      </c>
      <c r="C10" s="72">
        <f t="shared" si="2"/>
        <v>13892</v>
      </c>
      <c r="D10" s="72">
        <f t="shared" si="2"/>
        <v>15957</v>
      </c>
      <c r="E10" s="72">
        <f t="shared" si="2"/>
        <v>21474</v>
      </c>
      <c r="F10" s="72">
        <f t="shared" si="2"/>
        <v>19770</v>
      </c>
      <c r="G10" s="72">
        <f t="shared" si="2"/>
        <v>15407</v>
      </c>
      <c r="H10" s="72">
        <f t="shared" si="2"/>
        <v>-10567</v>
      </c>
      <c r="I10" s="72">
        <f t="shared" si="2"/>
        <v>8229</v>
      </c>
      <c r="J10" s="72">
        <f t="shared" si="2"/>
        <v>37037</v>
      </c>
      <c r="K10" s="72">
        <f t="shared" si="2"/>
        <v>13955</v>
      </c>
      <c r="L10" s="72">
        <f t="shared" si="2"/>
        <v>17796</v>
      </c>
      <c r="M10" s="72">
        <f t="shared" si="2"/>
        <v>-9226</v>
      </c>
      <c r="N10" s="72">
        <f t="shared" si="0"/>
        <v>151899</v>
      </c>
      <c r="O10" s="72"/>
      <c r="P10" s="72"/>
    </row>
    <row r="11" spans="1:15" ht="15">
      <c r="A11" s="67" t="s">
        <v>200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68"/>
    </row>
    <row r="12" spans="1:15" ht="15">
      <c r="A12" s="69" t="s">
        <v>196</v>
      </c>
      <c r="B12" s="67">
        <f aca="true" t="shared" si="3" ref="B12:M12">B2-B7</f>
        <v>0</v>
      </c>
      <c r="C12" s="67">
        <f t="shared" si="3"/>
        <v>0</v>
      </c>
      <c r="D12" s="67">
        <f t="shared" si="3"/>
        <v>0</v>
      </c>
      <c r="E12" s="67">
        <f t="shared" si="3"/>
        <v>0</v>
      </c>
      <c r="F12" s="67">
        <f t="shared" si="3"/>
        <v>0</v>
      </c>
      <c r="G12" s="67">
        <f t="shared" si="3"/>
        <v>0</v>
      </c>
      <c r="H12" s="67">
        <f t="shared" si="3"/>
        <v>0</v>
      </c>
      <c r="I12" s="67">
        <f t="shared" si="3"/>
        <v>0</v>
      </c>
      <c r="J12" s="67">
        <f t="shared" si="3"/>
        <v>325.3899999999994</v>
      </c>
      <c r="K12" s="67">
        <f t="shared" si="3"/>
        <v>0</v>
      </c>
      <c r="L12" s="67">
        <f t="shared" si="3"/>
        <v>36975.07</v>
      </c>
      <c r="M12" s="67">
        <f t="shared" si="3"/>
        <v>-119159.23999999999</v>
      </c>
      <c r="N12" s="67">
        <f t="shared" si="0"/>
        <v>-81858.78</v>
      </c>
      <c r="O12" s="68"/>
    </row>
    <row r="13" spans="1:15" ht="15">
      <c r="A13" s="70" t="s">
        <v>197</v>
      </c>
      <c r="B13" s="67">
        <f aca="true" t="shared" si="4" ref="B13:M13">B3-B8</f>
        <v>0</v>
      </c>
      <c r="C13" s="67">
        <f t="shared" si="4"/>
        <v>0</v>
      </c>
      <c r="D13" s="67">
        <f t="shared" si="4"/>
        <v>0</v>
      </c>
      <c r="E13" s="67">
        <f t="shared" si="4"/>
        <v>0</v>
      </c>
      <c r="F13" s="67">
        <f t="shared" si="4"/>
        <v>0</v>
      </c>
      <c r="G13" s="67">
        <f t="shared" si="4"/>
        <v>0</v>
      </c>
      <c r="H13" s="67">
        <f t="shared" si="4"/>
        <v>0</v>
      </c>
      <c r="I13" s="67">
        <f t="shared" si="4"/>
        <v>0</v>
      </c>
      <c r="J13" s="67">
        <f t="shared" si="4"/>
        <v>105255.74000000002</v>
      </c>
      <c r="K13" s="67">
        <f t="shared" si="4"/>
        <v>35600.26</v>
      </c>
      <c r="L13" s="67">
        <f t="shared" si="4"/>
        <v>0</v>
      </c>
      <c r="M13" s="67">
        <f t="shared" si="4"/>
        <v>15000</v>
      </c>
      <c r="N13" s="67">
        <f t="shared" si="0"/>
        <v>155856.00000000003</v>
      </c>
      <c r="O13" s="68"/>
    </row>
    <row r="14" spans="1:15" ht="15">
      <c r="A14" s="70" t="s">
        <v>198</v>
      </c>
      <c r="B14" s="67">
        <f aca="true" t="shared" si="5" ref="B14:M14">B4-B9</f>
        <v>56107.5</v>
      </c>
      <c r="C14" s="67">
        <f t="shared" si="5"/>
        <v>94371.89</v>
      </c>
      <c r="D14" s="67">
        <f t="shared" si="5"/>
        <v>108183.79</v>
      </c>
      <c r="E14" s="67">
        <f t="shared" si="5"/>
        <v>145109.76</v>
      </c>
      <c r="F14" s="67">
        <f t="shared" si="5"/>
        <v>133709.93</v>
      </c>
      <c r="G14" s="67">
        <f t="shared" si="5"/>
        <v>104497.24</v>
      </c>
      <c r="H14" s="67">
        <f t="shared" si="5"/>
        <v>187822.23</v>
      </c>
      <c r="I14" s="67">
        <f t="shared" si="5"/>
        <v>54684.63</v>
      </c>
      <c r="J14" s="67">
        <f t="shared" si="5"/>
        <v>-15789.419999999998</v>
      </c>
      <c r="K14" s="67">
        <f t="shared" si="5"/>
        <v>58760.92999999999</v>
      </c>
      <c r="L14" s="67">
        <f t="shared" si="5"/>
        <v>91769.03</v>
      </c>
      <c r="M14" s="67">
        <f t="shared" si="5"/>
        <v>186248.56</v>
      </c>
      <c r="N14" s="67">
        <f t="shared" si="0"/>
        <v>1205476.07</v>
      </c>
      <c r="O14" s="68"/>
    </row>
    <row r="15" spans="1:16" ht="15">
      <c r="A15" s="73" t="s">
        <v>199</v>
      </c>
      <c r="B15" s="73">
        <f aca="true" t="shared" si="6" ref="B15:M15">SUM(B12:B14)</f>
        <v>56107.5</v>
      </c>
      <c r="C15" s="73">
        <f t="shared" si="6"/>
        <v>94371.89</v>
      </c>
      <c r="D15" s="73">
        <f t="shared" si="6"/>
        <v>108183.79</v>
      </c>
      <c r="E15" s="73">
        <f t="shared" si="6"/>
        <v>145109.76</v>
      </c>
      <c r="F15" s="73">
        <f t="shared" si="6"/>
        <v>133709.93</v>
      </c>
      <c r="G15" s="73">
        <f t="shared" si="6"/>
        <v>104497.24</v>
      </c>
      <c r="H15" s="73">
        <f t="shared" si="6"/>
        <v>187822.23</v>
      </c>
      <c r="I15" s="73">
        <f t="shared" si="6"/>
        <v>54684.63</v>
      </c>
      <c r="J15" s="73">
        <f t="shared" si="6"/>
        <v>89791.71000000002</v>
      </c>
      <c r="K15" s="73">
        <f t="shared" si="6"/>
        <v>94361.19</v>
      </c>
      <c r="L15" s="73">
        <f t="shared" si="6"/>
        <v>128744.1</v>
      </c>
      <c r="M15" s="73">
        <f t="shared" si="6"/>
        <v>82089.32</v>
      </c>
      <c r="N15" s="72">
        <f t="shared" si="0"/>
        <v>1279473.29</v>
      </c>
      <c r="O15" s="72"/>
      <c r="P15" s="72"/>
    </row>
    <row r="16" spans="1:15" ht="15">
      <c r="A16" s="68" t="s">
        <v>201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8" ht="15">
      <c r="A17" s="68"/>
      <c r="B17" s="68"/>
      <c r="C17" s="68"/>
      <c r="D17" s="68"/>
      <c r="E17" s="68"/>
      <c r="F17" s="68"/>
      <c r="G17" s="68"/>
      <c r="H17" s="68">
        <v>33429</v>
      </c>
      <c r="I17" s="68"/>
      <c r="J17" s="68"/>
      <c r="K17" s="68"/>
      <c r="L17" s="68"/>
      <c r="M17" s="68"/>
      <c r="N17" s="68"/>
      <c r="O17" s="68"/>
      <c r="R17" t="s">
        <v>202</v>
      </c>
    </row>
    <row r="18" spans="12:20" ht="15">
      <c r="L18" s="74"/>
      <c r="M18" s="75">
        <v>64020</v>
      </c>
      <c r="N18" s="75">
        <v>43250</v>
      </c>
      <c r="O18" s="75">
        <v>70010</v>
      </c>
      <c r="P18" s="76" t="s">
        <v>199</v>
      </c>
      <c r="R18" s="75">
        <v>64020</v>
      </c>
      <c r="S18" s="75">
        <v>43250</v>
      </c>
      <c r="T18" s="75">
        <v>70010</v>
      </c>
    </row>
    <row r="19" spans="3:20" ht="15">
      <c r="C19" t="s">
        <v>203</v>
      </c>
      <c r="L19" s="76">
        <v>0.22</v>
      </c>
      <c r="M19" s="77">
        <f>$N$2*L19</f>
        <v>-16301.7316</v>
      </c>
      <c r="N19" s="77">
        <f>$N$3*L19</f>
        <v>39213.68000000001</v>
      </c>
      <c r="O19" s="77">
        <f>$N$4*L19</f>
        <v>291989.95540000004</v>
      </c>
      <c r="P19" s="76">
        <f>O19+N19+M19</f>
        <v>314901.90380000003</v>
      </c>
      <c r="Q19" t="e">
        <f>P19-#REF!</f>
        <v>#REF!</v>
      </c>
      <c r="R19">
        <v>116000</v>
      </c>
      <c r="S19">
        <v>9990</v>
      </c>
      <c r="T19">
        <v>158133.42</v>
      </c>
    </row>
    <row r="20" spans="3:17" ht="15">
      <c r="C20" s="74"/>
      <c r="D20" s="75">
        <v>64020</v>
      </c>
      <c r="E20" s="75">
        <v>43250</v>
      </c>
      <c r="F20" s="75">
        <v>70010</v>
      </c>
      <c r="G20" s="76" t="s">
        <v>199</v>
      </c>
      <c r="L20" s="76">
        <v>0.029</v>
      </c>
      <c r="M20" s="77">
        <f>N2*L20</f>
        <v>-2148.8646200000003</v>
      </c>
      <c r="N20" s="77">
        <f>$N$3*L20</f>
        <v>5169.076000000001</v>
      </c>
      <c r="O20" s="77">
        <f>$N$4*L20</f>
        <v>38489.58503</v>
      </c>
      <c r="P20" s="76">
        <f>O20+N20+M20</f>
        <v>41509.79641</v>
      </c>
      <c r="Q20" t="e">
        <f>P20-#REF!</f>
        <v>#REF!</v>
      </c>
    </row>
    <row r="21" spans="3:17" ht="15">
      <c r="C21" s="76">
        <v>0.22</v>
      </c>
      <c r="D21" s="77">
        <f>12221.5+22142.09+14508.09+14508.09+14508.09+16030.43+19079.85+9239.93+18975.94+20248.43+21722.43-98681.57+378.08</f>
        <v>84881.37999999996</v>
      </c>
      <c r="E21" s="77">
        <f>7277.48</f>
        <v>7277.48</v>
      </c>
      <c r="F21" s="77">
        <f>120457.43-7221.79</f>
        <v>113235.64</v>
      </c>
      <c r="G21" s="76">
        <f>F21+E21+D21</f>
        <v>205394.49999999994</v>
      </c>
      <c r="H21">
        <f>G21-P27</f>
        <v>3748.359999999928</v>
      </c>
      <c r="L21" s="76">
        <v>0.051</v>
      </c>
      <c r="M21" s="77">
        <f>$N$2*L21</f>
        <v>-3779.0377799999997</v>
      </c>
      <c r="N21" s="77">
        <f>$N$3*L21</f>
        <v>9090.444000000001</v>
      </c>
      <c r="O21" s="77">
        <f>$N$4*L21</f>
        <v>67688.58057</v>
      </c>
      <c r="P21" s="76">
        <f>O21+N21+M21</f>
        <v>72999.98679000001</v>
      </c>
      <c r="Q21" t="e">
        <f>P21-#REF!</f>
        <v>#REF!</v>
      </c>
    </row>
    <row r="22" spans="3:17" ht="15">
      <c r="C22" s="76">
        <v>0.029</v>
      </c>
      <c r="D22" s="77">
        <f>1611.02+2918.73+1912.43+1912.43+1912.43+2113.1+2515.07+1217.99+2501.38+3074.22+2863.42-13430.99</f>
        <v>11121.230000000001</v>
      </c>
      <c r="E22" s="77">
        <f>959.31</f>
        <v>959.31</v>
      </c>
      <c r="F22" s="77">
        <f>15878.48</f>
        <v>15878.48</v>
      </c>
      <c r="G22" s="76">
        <f>F22+E22+D22</f>
        <v>27959.020000000004</v>
      </c>
      <c r="H22">
        <f>G22-P28</f>
        <v>6152.050000000003</v>
      </c>
      <c r="L22" s="76">
        <v>0.002</v>
      </c>
      <c r="M22" s="77">
        <f>$N$2*L22</f>
        <v>-148.19756</v>
      </c>
      <c r="N22" s="77">
        <f>$N$3*L22</f>
        <v>356.48800000000006</v>
      </c>
      <c r="O22" s="77">
        <f>$N$4*L22</f>
        <v>2654.4541400000003</v>
      </c>
      <c r="P22" s="76">
        <f>O22+N22+M22</f>
        <v>2862.74458</v>
      </c>
      <c r="Q22" t="e">
        <f>P22-#REF!</f>
        <v>#REF!</v>
      </c>
    </row>
    <row r="23" spans="3:16" ht="15">
      <c r="C23" s="76">
        <v>0.051</v>
      </c>
      <c r="D23" s="77">
        <f>2833.17+5132.94+3363.24+3363.24+3363.24+3716.14+4423.06+2141.98+4398.97+4288.85+5035.65-22876.18</f>
        <v>19184.300000000003</v>
      </c>
      <c r="E23" s="77">
        <f>1687.05</f>
        <v>1687.05</v>
      </c>
      <c r="F23" s="77">
        <v>27924.23</v>
      </c>
      <c r="G23" s="76">
        <f>F23+E23+D23</f>
        <v>48795.58</v>
      </c>
      <c r="H23">
        <f>G23-P29-473.74</f>
        <v>-9882.639999999994</v>
      </c>
      <c r="M23">
        <f>SUM(M19:M22)</f>
        <v>-22377.83156</v>
      </c>
      <c r="N23">
        <f>SUM(N19:N22)</f>
        <v>53829.68800000001</v>
      </c>
      <c r="O23">
        <f>SUM(O19:O22)</f>
        <v>400822.57514000003</v>
      </c>
      <c r="P23" s="76">
        <f>O23+N23+M23</f>
        <v>432274.43158000003</v>
      </c>
    </row>
    <row r="24" spans="3:8" ht="15">
      <c r="C24" s="76">
        <v>0.002</v>
      </c>
      <c r="D24" s="77">
        <f>111.11+201.29+131.89+131.89+131.89+145.73+173.45+84+172.5+184.08+197.48-852.22</f>
        <v>813.0899999999999</v>
      </c>
      <c r="E24" s="77">
        <f>66.16</f>
        <v>66.16</v>
      </c>
      <c r="F24" s="77">
        <v>1095.07</v>
      </c>
      <c r="G24" s="76">
        <f>F24+E24+D24</f>
        <v>1974.32</v>
      </c>
      <c r="H24">
        <f>G24-P30</f>
        <v>-17.769999999999982</v>
      </c>
    </row>
    <row r="25" spans="4:15" ht="15">
      <c r="D25">
        <f>SUM(D21:D24)</f>
        <v>115999.99999999996</v>
      </c>
      <c r="E25">
        <f>SUM(E21:E24)</f>
        <v>9989.999999999998</v>
      </c>
      <c r="F25">
        <f>SUM(F21:F24)</f>
        <v>158133.42</v>
      </c>
      <c r="G25" s="76">
        <f>F25+E25+D25</f>
        <v>284123.42</v>
      </c>
      <c r="H25" s="78">
        <f>H21+H22+H23+H24</f>
        <v>-6.320988177321851E-11</v>
      </c>
      <c r="L25" s="166" t="s">
        <v>204</v>
      </c>
      <c r="M25" s="166"/>
      <c r="N25" s="166"/>
      <c r="O25" s="166"/>
    </row>
    <row r="26" spans="12:16" ht="15">
      <c r="L26" s="74"/>
      <c r="M26" s="75">
        <v>64020</v>
      </c>
      <c r="N26" s="75">
        <v>43250</v>
      </c>
      <c r="O26" s="75">
        <v>70010</v>
      </c>
      <c r="P26" s="76" t="s">
        <v>199</v>
      </c>
    </row>
    <row r="27" spans="12:16" ht="15">
      <c r="L27" s="76">
        <v>0.22</v>
      </c>
      <c r="M27" s="77">
        <v>68495.89</v>
      </c>
      <c r="N27" s="77">
        <v>7277.48</v>
      </c>
      <c r="O27" s="77">
        <v>125872.77</v>
      </c>
      <c r="P27" s="76">
        <f>O27+N27+M27</f>
        <v>201646.14</v>
      </c>
    </row>
    <row r="28" spans="12:16" ht="15">
      <c r="L28" s="76">
        <v>0.029</v>
      </c>
      <c r="M28" s="77">
        <v>12696.04</v>
      </c>
      <c r="N28" s="77">
        <v>959.31</v>
      </c>
      <c r="O28" s="77">
        <v>8151.62</v>
      </c>
      <c r="P28" s="76">
        <f>O28+N28+M28</f>
        <v>21806.97</v>
      </c>
    </row>
    <row r="29" spans="12:16" ht="15">
      <c r="L29" s="76">
        <v>0.051</v>
      </c>
      <c r="M29" s="77">
        <v>32970.58</v>
      </c>
      <c r="N29" s="77">
        <v>1687.05</v>
      </c>
      <c r="O29" s="77">
        <v>23546.85</v>
      </c>
      <c r="P29" s="76">
        <f>O29+N29+M29</f>
        <v>58204.479999999996</v>
      </c>
    </row>
    <row r="30" spans="12:16" ht="15">
      <c r="L30" s="76">
        <v>0.002</v>
      </c>
      <c r="M30" s="77">
        <v>1363.75</v>
      </c>
      <c r="N30" s="77">
        <v>66.16</v>
      </c>
      <c r="O30" s="77">
        <v>562.18</v>
      </c>
      <c r="P30" s="76">
        <f>O30+N30+M30</f>
        <v>1992.09</v>
      </c>
    </row>
    <row r="31" spans="13:20" ht="15">
      <c r="M31">
        <f>SUM(M27:M30)</f>
        <v>115526.26</v>
      </c>
      <c r="N31">
        <f>SUM(N27:N30)</f>
        <v>9989.999999999998</v>
      </c>
      <c r="O31">
        <f>SUM(O27:O30)</f>
        <v>158133.42</v>
      </c>
      <c r="P31" s="76">
        <f>O31+N31+M31</f>
        <v>283649.68</v>
      </c>
      <c r="R31">
        <v>116000</v>
      </c>
      <c r="S31">
        <v>9990</v>
      </c>
      <c r="T31">
        <v>158133.42</v>
      </c>
    </row>
    <row r="32" spans="12:16" ht="15">
      <c r="L32" t="s">
        <v>205</v>
      </c>
      <c r="M32">
        <v>473.74</v>
      </c>
      <c r="P32">
        <f>P31+M32</f>
        <v>284123.42</v>
      </c>
    </row>
    <row r="34" spans="12:15" ht="15">
      <c r="L34" s="166" t="s">
        <v>206</v>
      </c>
      <c r="M34" s="166"/>
      <c r="N34" s="166"/>
      <c r="O34" s="166"/>
    </row>
    <row r="35" spans="12:16" ht="15">
      <c r="L35" s="74"/>
      <c r="M35" s="75">
        <v>64020</v>
      </c>
      <c r="N35" s="75">
        <v>43250</v>
      </c>
      <c r="O35" s="75">
        <v>70010</v>
      </c>
      <c r="P35" s="76" t="s">
        <v>199</v>
      </c>
    </row>
    <row r="36" spans="12:16" ht="15">
      <c r="L36" s="76">
        <v>0.22</v>
      </c>
      <c r="M36" s="77">
        <f aca="true" t="shared" si="7" ref="M36:O39">M27-M19</f>
        <v>84797.6216</v>
      </c>
      <c r="N36" s="77">
        <f t="shared" si="7"/>
        <v>-31936.200000000008</v>
      </c>
      <c r="O36" s="77">
        <f t="shared" si="7"/>
        <v>-166117.18540000002</v>
      </c>
      <c r="P36" s="76">
        <f>O36+N36+M36</f>
        <v>-113255.76380000003</v>
      </c>
    </row>
    <row r="37" spans="12:16" ht="15">
      <c r="L37" s="76">
        <v>0.029</v>
      </c>
      <c r="M37" s="77">
        <f t="shared" si="7"/>
        <v>14844.904620000001</v>
      </c>
      <c r="N37" s="77">
        <f t="shared" si="7"/>
        <v>-4209.766000000001</v>
      </c>
      <c r="O37" s="77">
        <f t="shared" si="7"/>
        <v>-30337.965030000003</v>
      </c>
      <c r="P37" s="76">
        <f>O37+N37+M37</f>
        <v>-19702.82641</v>
      </c>
    </row>
    <row r="38" spans="12:16" ht="15">
      <c r="L38" s="76">
        <v>0.051</v>
      </c>
      <c r="M38" s="77">
        <f t="shared" si="7"/>
        <v>36749.61778</v>
      </c>
      <c r="N38" s="77">
        <f t="shared" si="7"/>
        <v>-7403.394000000001</v>
      </c>
      <c r="O38" s="77">
        <f t="shared" si="7"/>
        <v>-44141.73057000001</v>
      </c>
      <c r="P38" s="76">
        <f>O38+N38+M38</f>
        <v>-14795.506790000007</v>
      </c>
    </row>
    <row r="39" spans="12:16" ht="15">
      <c r="L39" s="76">
        <v>0.002</v>
      </c>
      <c r="M39" s="77">
        <f t="shared" si="7"/>
        <v>1511.94756</v>
      </c>
      <c r="N39" s="77">
        <f t="shared" si="7"/>
        <v>-290.3280000000001</v>
      </c>
      <c r="O39" s="77">
        <f t="shared" si="7"/>
        <v>-2092.2741400000004</v>
      </c>
      <c r="P39" s="76">
        <f>O39+N39+M39</f>
        <v>-870.6545800000004</v>
      </c>
    </row>
    <row r="40" spans="13:16" ht="15">
      <c r="M40">
        <f>SUM(M36:M39)</f>
        <v>137904.09156</v>
      </c>
      <c r="N40">
        <f>SUM(N36:N39)</f>
        <v>-43839.68800000001</v>
      </c>
      <c r="O40">
        <f>SUM(O36:O39)</f>
        <v>-242689.15514000002</v>
      </c>
      <c r="P40" s="76">
        <f>O40+N40+M40</f>
        <v>-148624.75158</v>
      </c>
    </row>
  </sheetData>
  <sheetProtection/>
  <mergeCells count="2">
    <mergeCell ref="L25:O25"/>
    <mergeCell ref="L34:O34"/>
  </mergeCells>
  <printOptions/>
  <pageMargins left="0.196527777777778" right="0.196527777777778" top="1.05277777777778" bottom="1.05277777777778" header="0.7875" footer="0.7875"/>
  <pageSetup horizontalDpi="300" verticalDpi="300" orientation="landscape" paperSize="9" scale="73"/>
  <headerFooter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L21" sqref="L21"/>
    </sheetView>
  </sheetViews>
  <sheetFormatPr defaultColWidth="12.28125" defaultRowHeight="15"/>
  <cols>
    <col min="1" max="6" width="10.7109375" style="105" customWidth="1"/>
    <col min="7" max="7" width="13.8515625" style="105" customWidth="1"/>
    <col min="8" max="8" width="10.7109375" style="105" customWidth="1"/>
    <col min="9" max="9" width="19.7109375" style="105" customWidth="1"/>
    <col min="10" max="10" width="10.421875" style="105" customWidth="1"/>
    <col min="11" max="11" width="10.7109375" style="105" customWidth="1"/>
    <col min="12" max="12" width="19.7109375" style="105" customWidth="1"/>
    <col min="13" max="13" width="14.140625" style="105" customWidth="1"/>
    <col min="14" max="14" width="10.7109375" style="105" customWidth="1"/>
    <col min="15" max="15" width="19.7109375" style="105" customWidth="1"/>
    <col min="16" max="18" width="10.7109375" style="105" customWidth="1"/>
    <col min="19" max="16384" width="12.28125" style="105" customWidth="1"/>
  </cols>
  <sheetData>
    <row r="1" spans="1:18" ht="27.75" customHeight="1">
      <c r="A1" s="103"/>
      <c r="B1" s="104"/>
      <c r="C1" s="104"/>
      <c r="D1" s="104"/>
      <c r="E1" s="104"/>
      <c r="F1" s="104"/>
      <c r="G1" s="103"/>
      <c r="H1" s="103"/>
      <c r="I1" s="103"/>
      <c r="J1" s="103"/>
      <c r="K1" s="103"/>
      <c r="L1" s="103"/>
      <c r="M1" s="103"/>
      <c r="N1" s="172" t="s">
        <v>290</v>
      </c>
      <c r="O1" s="172"/>
      <c r="P1" s="172"/>
      <c r="Q1" s="172"/>
      <c r="R1" s="172"/>
    </row>
    <row r="2" spans="1:18" ht="8.25" customHeight="1">
      <c r="A2" s="103"/>
      <c r="B2" s="104"/>
      <c r="C2" s="104"/>
      <c r="D2" s="104"/>
      <c r="E2" s="104"/>
      <c r="F2" s="104"/>
      <c r="G2" s="103"/>
      <c r="H2" s="103"/>
      <c r="I2" s="103"/>
      <c r="J2" s="103"/>
      <c r="K2" s="103"/>
      <c r="L2" s="103"/>
      <c r="M2" s="103"/>
      <c r="N2" s="103"/>
      <c r="O2" s="103"/>
      <c r="Q2" s="106"/>
      <c r="R2" s="107"/>
    </row>
    <row r="3" spans="1:18" s="108" customFormat="1" ht="46.5" customHeight="1">
      <c r="A3" s="173" t="s">
        <v>329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>
      <c r="A4" s="103"/>
      <c r="B4" s="104"/>
      <c r="C4" s="104"/>
      <c r="D4" s="104"/>
      <c r="E4" s="104"/>
      <c r="F4" s="104"/>
      <c r="G4" s="103"/>
      <c r="H4" s="103"/>
      <c r="I4" s="103"/>
      <c r="J4" s="103"/>
      <c r="K4" s="103"/>
      <c r="L4" s="103"/>
      <c r="M4" s="103"/>
      <c r="N4" s="103"/>
      <c r="O4" s="103"/>
      <c r="R4" s="109" t="s">
        <v>207</v>
      </c>
    </row>
    <row r="5" spans="1:18" ht="25.5" customHeight="1">
      <c r="A5" s="174" t="s">
        <v>208</v>
      </c>
      <c r="B5" s="174" t="s">
        <v>209</v>
      </c>
      <c r="C5" s="174"/>
      <c r="D5" s="174"/>
      <c r="E5" s="174"/>
      <c r="F5" s="174"/>
      <c r="G5" s="174" t="s">
        <v>210</v>
      </c>
      <c r="H5" s="174"/>
      <c r="I5" s="174"/>
      <c r="J5" s="174" t="s">
        <v>211</v>
      </c>
      <c r="K5" s="174"/>
      <c r="L5" s="174"/>
      <c r="M5" s="174" t="s">
        <v>212</v>
      </c>
      <c r="N5" s="174"/>
      <c r="O5" s="174"/>
      <c r="P5" s="174" t="s">
        <v>213</v>
      </c>
      <c r="Q5" s="174" t="s">
        <v>214</v>
      </c>
      <c r="R5" s="174" t="s">
        <v>215</v>
      </c>
    </row>
    <row r="6" spans="1:18" ht="75" customHeight="1">
      <c r="A6" s="174"/>
      <c r="B6" s="190" t="s">
        <v>216</v>
      </c>
      <c r="C6" s="190" t="s">
        <v>217</v>
      </c>
      <c r="D6" s="190" t="s">
        <v>218</v>
      </c>
      <c r="E6" s="190" t="s">
        <v>330</v>
      </c>
      <c r="F6" s="190" t="s">
        <v>291</v>
      </c>
      <c r="G6" s="110" t="s">
        <v>219</v>
      </c>
      <c r="H6" s="110" t="s">
        <v>220</v>
      </c>
      <c r="I6" s="110" t="s">
        <v>221</v>
      </c>
      <c r="J6" s="110" t="s">
        <v>219</v>
      </c>
      <c r="K6" s="110" t="s">
        <v>220</v>
      </c>
      <c r="L6" s="110" t="s">
        <v>221</v>
      </c>
      <c r="M6" s="110" t="s">
        <v>219</v>
      </c>
      <c r="N6" s="110" t="s">
        <v>220</v>
      </c>
      <c r="O6" s="110" t="s">
        <v>221</v>
      </c>
      <c r="P6" s="174"/>
      <c r="Q6" s="174"/>
      <c r="R6" s="174"/>
    </row>
    <row r="7" spans="1:18" s="112" customFormat="1" ht="9.75" customHeight="1">
      <c r="A7" s="111">
        <v>1</v>
      </c>
      <c r="B7" s="111">
        <v>2</v>
      </c>
      <c r="C7" s="111">
        <v>3</v>
      </c>
      <c r="D7" s="111">
        <v>4</v>
      </c>
      <c r="E7" s="111" t="s">
        <v>222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spans="1:18" ht="23.25" customHeight="1">
      <c r="A8" s="169" t="s">
        <v>223</v>
      </c>
      <c r="B8" s="167">
        <v>26000.07</v>
      </c>
      <c r="C8" s="167">
        <v>3380</v>
      </c>
      <c r="D8" s="167">
        <v>0</v>
      </c>
      <c r="E8" s="167">
        <f>B8-C8</f>
        <v>22620.07</v>
      </c>
      <c r="F8" s="167">
        <v>7852.02</v>
      </c>
      <c r="G8" s="114" t="s">
        <v>323</v>
      </c>
      <c r="H8" s="189">
        <v>10000</v>
      </c>
      <c r="I8" s="113" t="s">
        <v>224</v>
      </c>
      <c r="J8" s="171" t="s">
        <v>225</v>
      </c>
      <c r="K8" s="167">
        <v>3380</v>
      </c>
      <c r="L8" s="113" t="s">
        <v>224</v>
      </c>
      <c r="M8" s="169" t="s">
        <v>226</v>
      </c>
      <c r="N8" s="167">
        <v>7852.02</v>
      </c>
      <c r="O8" s="113" t="s">
        <v>227</v>
      </c>
      <c r="P8" s="167">
        <f>E8</f>
        <v>22620.07</v>
      </c>
      <c r="Q8" s="167">
        <v>3380</v>
      </c>
      <c r="R8" s="167">
        <v>7852.02</v>
      </c>
    </row>
    <row r="9" spans="1:18" ht="24.75">
      <c r="A9" s="169"/>
      <c r="B9" s="167"/>
      <c r="C9" s="167"/>
      <c r="D9" s="167"/>
      <c r="E9" s="167"/>
      <c r="F9" s="167"/>
      <c r="G9" s="114" t="s">
        <v>325</v>
      </c>
      <c r="H9" s="189">
        <v>12620.07</v>
      </c>
      <c r="I9" s="113" t="s">
        <v>224</v>
      </c>
      <c r="J9" s="171"/>
      <c r="K9" s="167"/>
      <c r="L9" s="113" t="s">
        <v>224</v>
      </c>
      <c r="M9" s="169"/>
      <c r="N9" s="167"/>
      <c r="O9" s="113" t="s">
        <v>227</v>
      </c>
      <c r="P9" s="167"/>
      <c r="Q9" s="167"/>
      <c r="R9" s="167"/>
    </row>
    <row r="10" spans="1:18" ht="23.25" customHeight="1">
      <c r="A10" s="169" t="s">
        <v>182</v>
      </c>
      <c r="B10" s="167">
        <v>27000.07</v>
      </c>
      <c r="C10" s="167">
        <v>3510</v>
      </c>
      <c r="D10" s="167">
        <v>0</v>
      </c>
      <c r="E10" s="167">
        <f>B10-C10</f>
        <v>23490.07</v>
      </c>
      <c r="F10" s="167">
        <v>8154.02</v>
      </c>
      <c r="G10" s="114" t="s">
        <v>324</v>
      </c>
      <c r="H10" s="189">
        <v>10000</v>
      </c>
      <c r="I10" s="113" t="s">
        <v>224</v>
      </c>
      <c r="J10" s="170" t="s">
        <v>292</v>
      </c>
      <c r="K10" s="167">
        <v>3510</v>
      </c>
      <c r="L10" s="113" t="s">
        <v>224</v>
      </c>
      <c r="M10" s="169" t="s">
        <v>228</v>
      </c>
      <c r="N10" s="167">
        <v>8154.02</v>
      </c>
      <c r="O10" s="113" t="s">
        <v>227</v>
      </c>
      <c r="P10" s="167">
        <f>E10</f>
        <v>23490.07</v>
      </c>
      <c r="Q10" s="167">
        <v>3510</v>
      </c>
      <c r="R10" s="167">
        <v>8154.02</v>
      </c>
    </row>
    <row r="11" spans="1:18" ht="25.5">
      <c r="A11" s="169"/>
      <c r="B11" s="167"/>
      <c r="C11" s="167"/>
      <c r="D11" s="167"/>
      <c r="E11" s="167"/>
      <c r="F11" s="167"/>
      <c r="G11" s="117" t="s">
        <v>326</v>
      </c>
      <c r="H11" s="189">
        <v>13490.07</v>
      </c>
      <c r="I11" s="113" t="s">
        <v>224</v>
      </c>
      <c r="J11" s="170"/>
      <c r="K11" s="167"/>
      <c r="L11" s="113" t="s">
        <v>224</v>
      </c>
      <c r="M11" s="169"/>
      <c r="N11" s="167"/>
      <c r="O11" s="113" t="s">
        <v>227</v>
      </c>
      <c r="P11" s="167"/>
      <c r="Q11" s="167"/>
      <c r="R11" s="167"/>
    </row>
    <row r="12" spans="1:18" ht="23.25" customHeight="1">
      <c r="A12" s="169" t="s">
        <v>183</v>
      </c>
      <c r="B12" s="167">
        <v>32800.07</v>
      </c>
      <c r="C12" s="167">
        <v>4264</v>
      </c>
      <c r="D12" s="167">
        <v>0</v>
      </c>
      <c r="E12" s="167">
        <f>B12-C12</f>
        <v>28536.07</v>
      </c>
      <c r="F12" s="167">
        <v>9905.62</v>
      </c>
      <c r="G12" s="114" t="s">
        <v>327</v>
      </c>
      <c r="H12" s="189">
        <v>10000</v>
      </c>
      <c r="I12" s="113" t="s">
        <v>224</v>
      </c>
      <c r="J12" s="170" t="s">
        <v>293</v>
      </c>
      <c r="K12" s="167">
        <v>4264</v>
      </c>
      <c r="L12" s="113" t="s">
        <v>224</v>
      </c>
      <c r="M12" s="169" t="s">
        <v>229</v>
      </c>
      <c r="N12" s="167">
        <v>9905.62</v>
      </c>
      <c r="O12" s="113" t="s">
        <v>227</v>
      </c>
      <c r="P12" s="167">
        <f>E12</f>
        <v>28536.07</v>
      </c>
      <c r="Q12" s="167">
        <v>4264</v>
      </c>
      <c r="R12" s="167">
        <v>9905.62</v>
      </c>
    </row>
    <row r="13" spans="1:18" ht="24.75">
      <c r="A13" s="169"/>
      <c r="B13" s="167"/>
      <c r="C13" s="167"/>
      <c r="D13" s="167"/>
      <c r="E13" s="167"/>
      <c r="F13" s="167"/>
      <c r="G13" s="114" t="s">
        <v>328</v>
      </c>
      <c r="H13" s="189">
        <v>18536.07</v>
      </c>
      <c r="I13" s="113" t="s">
        <v>224</v>
      </c>
      <c r="J13" s="170"/>
      <c r="K13" s="167"/>
      <c r="L13" s="113" t="s">
        <v>224</v>
      </c>
      <c r="M13" s="169"/>
      <c r="N13" s="167"/>
      <c r="O13" s="113" t="s">
        <v>227</v>
      </c>
      <c r="P13" s="167"/>
      <c r="Q13" s="167"/>
      <c r="R13" s="167"/>
    </row>
    <row r="14" spans="1:18" ht="23.25" customHeight="1">
      <c r="A14" s="169" t="s">
        <v>184</v>
      </c>
      <c r="B14" s="167">
        <v>32000.06</v>
      </c>
      <c r="C14" s="167">
        <v>4160</v>
      </c>
      <c r="D14" s="167">
        <v>0</v>
      </c>
      <c r="E14" s="167">
        <f>B14-C14</f>
        <v>27840.06</v>
      </c>
      <c r="F14" s="167">
        <v>9664.02</v>
      </c>
      <c r="G14" s="114" t="s">
        <v>322</v>
      </c>
      <c r="H14" s="189">
        <v>10000</v>
      </c>
      <c r="I14" s="113" t="s">
        <v>224</v>
      </c>
      <c r="J14" s="170" t="s">
        <v>294</v>
      </c>
      <c r="K14" s="167">
        <v>4160</v>
      </c>
      <c r="L14" s="113" t="s">
        <v>224</v>
      </c>
      <c r="M14" s="169" t="s">
        <v>230</v>
      </c>
      <c r="N14" s="167">
        <v>9664.02</v>
      </c>
      <c r="O14" s="113" t="s">
        <v>227</v>
      </c>
      <c r="P14" s="167">
        <f>E14</f>
        <v>27840.06</v>
      </c>
      <c r="Q14" s="167">
        <v>4160</v>
      </c>
      <c r="R14" s="167">
        <v>9664.02</v>
      </c>
    </row>
    <row r="15" spans="1:18" ht="24.75">
      <c r="A15" s="169"/>
      <c r="B15" s="167"/>
      <c r="C15" s="167"/>
      <c r="D15" s="167"/>
      <c r="E15" s="167"/>
      <c r="F15" s="167"/>
      <c r="G15" s="114" t="s">
        <v>321</v>
      </c>
      <c r="H15" s="189">
        <v>17840.06</v>
      </c>
      <c r="I15" s="113" t="s">
        <v>224</v>
      </c>
      <c r="J15" s="170"/>
      <c r="K15" s="167"/>
      <c r="L15" s="113" t="s">
        <v>224</v>
      </c>
      <c r="M15" s="169"/>
      <c r="N15" s="167"/>
      <c r="O15" s="113" t="s">
        <v>227</v>
      </c>
      <c r="P15" s="167"/>
      <c r="Q15" s="167"/>
      <c r="R15" s="167"/>
    </row>
    <row r="16" spans="1:18" ht="23.25" customHeight="1">
      <c r="A16" s="169" t="s">
        <v>185</v>
      </c>
      <c r="B16" s="167">
        <v>40025.07</v>
      </c>
      <c r="C16" s="167">
        <v>5203</v>
      </c>
      <c r="D16" s="167">
        <v>0</v>
      </c>
      <c r="E16" s="167">
        <f>B16-C16</f>
        <v>34822.07</v>
      </c>
      <c r="F16" s="167">
        <v>12087.57</v>
      </c>
      <c r="G16" s="114" t="s">
        <v>320</v>
      </c>
      <c r="H16" s="189">
        <v>10000</v>
      </c>
      <c r="I16" s="113" t="s">
        <v>224</v>
      </c>
      <c r="J16" s="170" t="s">
        <v>295</v>
      </c>
      <c r="K16" s="167">
        <v>5203</v>
      </c>
      <c r="L16" s="113" t="s">
        <v>224</v>
      </c>
      <c r="M16" s="169" t="s">
        <v>231</v>
      </c>
      <c r="N16" s="167">
        <v>12687.56</v>
      </c>
      <c r="O16" s="113" t="s">
        <v>227</v>
      </c>
      <c r="P16" s="188">
        <f>E16</f>
        <v>34822.07</v>
      </c>
      <c r="Q16" s="188">
        <v>5203</v>
      </c>
      <c r="R16" s="188">
        <v>12687.56</v>
      </c>
    </row>
    <row r="17" spans="1:18" ht="24.75">
      <c r="A17" s="169"/>
      <c r="B17" s="167"/>
      <c r="C17" s="167"/>
      <c r="D17" s="167"/>
      <c r="E17" s="167"/>
      <c r="F17" s="167"/>
      <c r="G17" s="114" t="s">
        <v>319</v>
      </c>
      <c r="H17" s="189">
        <v>12620.07</v>
      </c>
      <c r="I17" s="113" t="s">
        <v>224</v>
      </c>
      <c r="J17" s="170"/>
      <c r="K17" s="167"/>
      <c r="L17" s="113" t="s">
        <v>224</v>
      </c>
      <c r="M17" s="169"/>
      <c r="N17" s="167"/>
      <c r="O17" s="113" t="s">
        <v>227</v>
      </c>
      <c r="P17" s="188"/>
      <c r="Q17" s="188"/>
      <c r="R17" s="188"/>
    </row>
    <row r="18" spans="1:18" ht="24.75">
      <c r="A18" s="169"/>
      <c r="B18" s="167"/>
      <c r="C18" s="167"/>
      <c r="D18" s="167"/>
      <c r="E18" s="167"/>
      <c r="F18" s="167"/>
      <c r="G18" s="114" t="s">
        <v>318</v>
      </c>
      <c r="H18" s="189">
        <v>12202</v>
      </c>
      <c r="I18" s="113" t="s">
        <v>224</v>
      </c>
      <c r="J18" s="170"/>
      <c r="K18" s="191"/>
      <c r="L18" s="113" t="s">
        <v>224</v>
      </c>
      <c r="M18" s="169"/>
      <c r="N18" s="167"/>
      <c r="O18" s="113" t="s">
        <v>227</v>
      </c>
      <c r="P18" s="188"/>
      <c r="Q18" s="188"/>
      <c r="R18" s="188"/>
    </row>
    <row r="19" spans="1:18" ht="23.25" customHeight="1">
      <c r="A19" s="169" t="s">
        <v>186</v>
      </c>
      <c r="B19" s="167">
        <v>88430.07</v>
      </c>
      <c r="C19" s="167">
        <v>4882</v>
      </c>
      <c r="D19" s="167">
        <v>50880</v>
      </c>
      <c r="E19" s="167">
        <f>B19-C19-D19</f>
        <v>32668.070000000007</v>
      </c>
      <c r="F19" s="167">
        <v>26705.88</v>
      </c>
      <c r="G19" s="168" t="s">
        <v>317</v>
      </c>
      <c r="H19" s="189">
        <v>-137308.34</v>
      </c>
      <c r="I19" s="113" t="s">
        <v>224</v>
      </c>
      <c r="J19" s="170" t="s">
        <v>317</v>
      </c>
      <c r="K19" s="192"/>
      <c r="L19" s="113" t="s">
        <v>224</v>
      </c>
      <c r="M19" s="169" t="s">
        <v>317</v>
      </c>
      <c r="N19" s="167">
        <v>-48263.24</v>
      </c>
      <c r="O19" s="113" t="s">
        <v>227</v>
      </c>
      <c r="P19" s="189">
        <v>-137308.34</v>
      </c>
      <c r="Q19" s="189">
        <v>-20517</v>
      </c>
      <c r="R19" s="189">
        <v>-48263.24</v>
      </c>
    </row>
    <row r="20" spans="1:18" ht="23.25" customHeight="1">
      <c r="A20" s="169"/>
      <c r="B20" s="167"/>
      <c r="C20" s="167"/>
      <c r="D20" s="167"/>
      <c r="E20" s="167"/>
      <c r="F20" s="167"/>
      <c r="G20" s="168"/>
      <c r="H20" s="189">
        <v>137308.34</v>
      </c>
      <c r="I20" s="113" t="s">
        <v>232</v>
      </c>
      <c r="J20" s="170"/>
      <c r="K20" s="191">
        <v>20517</v>
      </c>
      <c r="L20" s="113" t="s">
        <v>232</v>
      </c>
      <c r="M20" s="169"/>
      <c r="N20" s="167">
        <v>48263.24</v>
      </c>
      <c r="O20" s="113" t="s">
        <v>233</v>
      </c>
      <c r="P20" s="189">
        <v>0</v>
      </c>
      <c r="Q20" s="189">
        <v>0</v>
      </c>
      <c r="R20" s="189">
        <v>0</v>
      </c>
    </row>
    <row r="21" spans="1:18" ht="63" customHeight="1">
      <c r="A21" s="169"/>
      <c r="B21" s="167"/>
      <c r="C21" s="167"/>
      <c r="D21" s="167"/>
      <c r="E21" s="167"/>
      <c r="F21" s="167"/>
      <c r="G21" s="114" t="s">
        <v>316</v>
      </c>
      <c r="H21" s="189">
        <v>10000</v>
      </c>
      <c r="I21" s="116" t="s">
        <v>224</v>
      </c>
      <c r="J21" s="116" t="s">
        <v>296</v>
      </c>
      <c r="K21" s="192"/>
      <c r="L21" s="113" t="s">
        <v>224</v>
      </c>
      <c r="M21" s="113" t="s">
        <v>234</v>
      </c>
      <c r="N21" s="167">
        <v>15365.76</v>
      </c>
      <c r="O21" s="113" t="s">
        <v>227</v>
      </c>
      <c r="P21" s="188">
        <v>10000</v>
      </c>
      <c r="Q21" s="188">
        <v>50880</v>
      </c>
      <c r="R21" s="188">
        <v>15365.76</v>
      </c>
    </row>
    <row r="22" spans="1:18" ht="36">
      <c r="A22" s="169"/>
      <c r="B22" s="167"/>
      <c r="C22" s="167"/>
      <c r="D22" s="167"/>
      <c r="E22" s="167"/>
      <c r="F22" s="167"/>
      <c r="G22" s="114" t="s">
        <v>315</v>
      </c>
      <c r="H22" s="189">
        <v>22668.07</v>
      </c>
      <c r="I22" s="113" t="s">
        <v>232</v>
      </c>
      <c r="J22" s="116" t="s">
        <v>297</v>
      </c>
      <c r="K22" s="167">
        <v>4882</v>
      </c>
      <c r="L22" s="113" t="s">
        <v>232</v>
      </c>
      <c r="M22" s="113" t="s">
        <v>236</v>
      </c>
      <c r="N22" s="167">
        <v>11340.12</v>
      </c>
      <c r="O22" s="113" t="s">
        <v>233</v>
      </c>
      <c r="P22" s="188"/>
      <c r="Q22" s="188"/>
      <c r="R22" s="188"/>
    </row>
    <row r="23" spans="1:18" ht="39.75" customHeight="1">
      <c r="A23" s="113" t="s">
        <v>187</v>
      </c>
      <c r="B23" s="115">
        <v>45938.66</v>
      </c>
      <c r="C23" s="115">
        <v>5972</v>
      </c>
      <c r="D23" s="115">
        <v>0</v>
      </c>
      <c r="E23" s="115">
        <f>B23-C23</f>
        <v>39966.66</v>
      </c>
      <c r="F23" s="115">
        <v>13873.48</v>
      </c>
      <c r="G23" s="114" t="s">
        <v>314</v>
      </c>
      <c r="H23" s="189">
        <v>39966.66</v>
      </c>
      <c r="I23" s="113" t="s">
        <v>232</v>
      </c>
      <c r="J23" s="116" t="s">
        <v>298</v>
      </c>
      <c r="K23" s="167" t="s">
        <v>237</v>
      </c>
      <c r="L23" s="113" t="s">
        <v>232</v>
      </c>
      <c r="M23" s="113" t="s">
        <v>238</v>
      </c>
      <c r="N23" s="167">
        <v>25911.66</v>
      </c>
      <c r="O23" s="113" t="s">
        <v>233</v>
      </c>
      <c r="P23" s="189">
        <f>E23-H23</f>
        <v>0</v>
      </c>
      <c r="Q23" s="189">
        <v>0</v>
      </c>
      <c r="R23" s="189">
        <v>0</v>
      </c>
    </row>
    <row r="24" spans="1:18" ht="36.75" customHeight="1">
      <c r="A24" s="113" t="s">
        <v>188</v>
      </c>
      <c r="B24" s="115">
        <v>14181.87</v>
      </c>
      <c r="C24" s="115">
        <v>1844</v>
      </c>
      <c r="D24" s="115">
        <v>0</v>
      </c>
      <c r="E24" s="115">
        <f>B24-C24</f>
        <v>12337.87</v>
      </c>
      <c r="F24" s="115">
        <v>4282.92</v>
      </c>
      <c r="G24" s="114" t="s">
        <v>313</v>
      </c>
      <c r="H24" s="189">
        <v>12337.87</v>
      </c>
      <c r="I24" s="113" t="s">
        <v>232</v>
      </c>
      <c r="J24" s="116" t="s">
        <v>299</v>
      </c>
      <c r="K24" s="167">
        <v>1844</v>
      </c>
      <c r="L24" s="113" t="s">
        <v>232</v>
      </c>
      <c r="M24" s="113" t="s">
        <v>239</v>
      </c>
      <c r="N24" s="167">
        <v>4282.91</v>
      </c>
      <c r="O24" s="113" t="s">
        <v>233</v>
      </c>
      <c r="P24" s="189">
        <f>E24-H24</f>
        <v>0</v>
      </c>
      <c r="Q24" s="189">
        <f>C24-K24</f>
        <v>0</v>
      </c>
      <c r="R24" s="189">
        <v>0</v>
      </c>
    </row>
    <row r="25" spans="1:18" ht="23.25" customHeight="1">
      <c r="A25" s="169" t="s">
        <v>189</v>
      </c>
      <c r="B25" s="167">
        <v>37550.07</v>
      </c>
      <c r="C25" s="167">
        <v>4882</v>
      </c>
      <c r="D25" s="167">
        <v>0</v>
      </c>
      <c r="E25" s="167">
        <f>B25-C25</f>
        <v>32668.07</v>
      </c>
      <c r="F25" s="167">
        <v>11340.12</v>
      </c>
      <c r="G25" s="114" t="s">
        <v>312</v>
      </c>
      <c r="H25" s="189">
        <v>10000</v>
      </c>
      <c r="I25" s="113" t="s">
        <v>232</v>
      </c>
      <c r="J25" s="170" t="s">
        <v>300</v>
      </c>
      <c r="K25" s="167" t="s">
        <v>235</v>
      </c>
      <c r="L25" s="169" t="s">
        <v>232</v>
      </c>
      <c r="M25" s="113" t="s">
        <v>240</v>
      </c>
      <c r="N25" s="167">
        <v>0</v>
      </c>
      <c r="O25" s="113" t="s">
        <v>240</v>
      </c>
      <c r="P25" s="188">
        <f>E25-H25-H26</f>
        <v>0</v>
      </c>
      <c r="Q25" s="188">
        <f>C25-K25</f>
        <v>0</v>
      </c>
      <c r="R25" s="188">
        <v>0</v>
      </c>
    </row>
    <row r="26" spans="1:18" ht="24.75">
      <c r="A26" s="169"/>
      <c r="B26" s="167"/>
      <c r="C26" s="167"/>
      <c r="D26" s="167"/>
      <c r="E26" s="167"/>
      <c r="F26" s="167"/>
      <c r="G26" s="114" t="s">
        <v>311</v>
      </c>
      <c r="H26" s="189">
        <v>22668.07</v>
      </c>
      <c r="I26" s="113" t="s">
        <v>232</v>
      </c>
      <c r="J26" s="170"/>
      <c r="K26" s="167"/>
      <c r="L26" s="170"/>
      <c r="M26" s="113" t="s">
        <v>240</v>
      </c>
      <c r="N26" s="167">
        <v>0</v>
      </c>
      <c r="O26" s="113" t="s">
        <v>240</v>
      </c>
      <c r="P26" s="188"/>
      <c r="Q26" s="188"/>
      <c r="R26" s="188"/>
    </row>
    <row r="27" spans="1:18" ht="39" customHeight="1">
      <c r="A27" s="169" t="s">
        <v>190</v>
      </c>
      <c r="B27" s="167">
        <v>26000.07</v>
      </c>
      <c r="C27" s="167">
        <v>3380</v>
      </c>
      <c r="D27" s="167">
        <v>0</v>
      </c>
      <c r="E27" s="167">
        <f>B27-C27</f>
        <v>22620.07</v>
      </c>
      <c r="F27" s="167">
        <v>7852.02</v>
      </c>
      <c r="G27" s="114" t="s">
        <v>310</v>
      </c>
      <c r="H27" s="189">
        <v>10000</v>
      </c>
      <c r="I27" s="116" t="s">
        <v>241</v>
      </c>
      <c r="J27" s="170" t="s">
        <v>240</v>
      </c>
      <c r="K27" s="167" t="s">
        <v>242</v>
      </c>
      <c r="L27" s="170" t="s">
        <v>240</v>
      </c>
      <c r="M27" s="116" t="s">
        <v>243</v>
      </c>
      <c r="N27" s="167" t="s">
        <v>244</v>
      </c>
      <c r="O27" s="116" t="s">
        <v>245</v>
      </c>
      <c r="P27" s="188">
        <f>E27</f>
        <v>22620.07</v>
      </c>
      <c r="Q27" s="188">
        <v>0</v>
      </c>
      <c r="R27" s="188">
        <v>3020</v>
      </c>
    </row>
    <row r="28" spans="1:18" ht="24.75">
      <c r="A28" s="169"/>
      <c r="B28" s="167"/>
      <c r="C28" s="167"/>
      <c r="D28" s="167"/>
      <c r="E28" s="167"/>
      <c r="F28" s="167"/>
      <c r="G28" s="114" t="s">
        <v>309</v>
      </c>
      <c r="H28" s="189">
        <v>12620.07</v>
      </c>
      <c r="I28" s="113" t="s">
        <v>224</v>
      </c>
      <c r="J28" s="170"/>
      <c r="K28" s="167"/>
      <c r="L28" s="170"/>
      <c r="M28" s="113" t="s">
        <v>240</v>
      </c>
      <c r="N28" s="167">
        <v>0</v>
      </c>
      <c r="O28" s="113" t="s">
        <v>240</v>
      </c>
      <c r="P28" s="188"/>
      <c r="Q28" s="188"/>
      <c r="R28" s="188"/>
    </row>
    <row r="29" spans="1:18" ht="23.25" customHeight="1">
      <c r="A29" s="169" t="s">
        <v>191</v>
      </c>
      <c r="B29" s="167">
        <v>42500.07</v>
      </c>
      <c r="C29" s="167">
        <v>5525</v>
      </c>
      <c r="D29" s="167">
        <v>0</v>
      </c>
      <c r="E29" s="167">
        <f>B29-C29</f>
        <v>36975.07</v>
      </c>
      <c r="F29" s="167">
        <v>12835.02</v>
      </c>
      <c r="G29" s="114" t="s">
        <v>308</v>
      </c>
      <c r="H29" s="189">
        <v>14355</v>
      </c>
      <c r="I29" s="113" t="s">
        <v>224</v>
      </c>
      <c r="J29" s="170" t="s">
        <v>240</v>
      </c>
      <c r="K29" s="167" t="s">
        <v>242</v>
      </c>
      <c r="L29" s="170" t="s">
        <v>240</v>
      </c>
      <c r="M29" s="116" t="s">
        <v>246</v>
      </c>
      <c r="N29" s="167" t="s">
        <v>247</v>
      </c>
      <c r="O29" s="113" t="s">
        <v>227</v>
      </c>
      <c r="P29" s="188">
        <v>15355</v>
      </c>
      <c r="Q29" s="188">
        <v>0</v>
      </c>
      <c r="R29" s="188">
        <f>N30+N29</f>
        <v>8516.99</v>
      </c>
    </row>
    <row r="30" spans="1:18" ht="36.75" customHeight="1">
      <c r="A30" s="169"/>
      <c r="B30" s="167"/>
      <c r="C30" s="167"/>
      <c r="D30" s="167"/>
      <c r="E30" s="167"/>
      <c r="F30" s="167"/>
      <c r="G30" s="168" t="s">
        <v>307</v>
      </c>
      <c r="H30" s="189">
        <v>1000</v>
      </c>
      <c r="I30" s="116" t="s">
        <v>241</v>
      </c>
      <c r="J30" s="170"/>
      <c r="K30" s="167"/>
      <c r="L30" s="170"/>
      <c r="M30" s="116" t="s">
        <v>243</v>
      </c>
      <c r="N30" s="167">
        <v>302</v>
      </c>
      <c r="O30" s="116" t="s">
        <v>245</v>
      </c>
      <c r="P30" s="188"/>
      <c r="Q30" s="188"/>
      <c r="R30" s="188"/>
    </row>
    <row r="31" spans="1:18" ht="23.25" customHeight="1">
      <c r="A31" s="169"/>
      <c r="B31" s="167"/>
      <c r="C31" s="167"/>
      <c r="D31" s="167"/>
      <c r="E31" s="167"/>
      <c r="F31" s="167"/>
      <c r="G31" s="168"/>
      <c r="H31" s="189">
        <v>9000</v>
      </c>
      <c r="I31" s="113" t="s">
        <v>232</v>
      </c>
      <c r="J31" s="170"/>
      <c r="K31" s="167"/>
      <c r="L31" s="170"/>
      <c r="M31" s="116" t="s">
        <v>248</v>
      </c>
      <c r="N31" s="167" t="s">
        <v>249</v>
      </c>
      <c r="O31" s="113" t="s">
        <v>233</v>
      </c>
      <c r="P31" s="188"/>
      <c r="Q31" s="188"/>
      <c r="R31" s="188"/>
    </row>
    <row r="32" spans="1:18" ht="39.75" customHeight="1">
      <c r="A32" s="169"/>
      <c r="B32" s="167"/>
      <c r="C32" s="167"/>
      <c r="D32" s="167"/>
      <c r="E32" s="167"/>
      <c r="F32" s="167"/>
      <c r="G32" s="114" t="s">
        <v>301</v>
      </c>
      <c r="H32" s="189">
        <v>12620.07</v>
      </c>
      <c r="I32" s="113" t="s">
        <v>232</v>
      </c>
      <c r="J32" s="170"/>
      <c r="K32" s="167"/>
      <c r="L32" s="170"/>
      <c r="M32" s="116" t="s">
        <v>331</v>
      </c>
      <c r="N32" s="167" t="s">
        <v>250</v>
      </c>
      <c r="O32" s="113" t="s">
        <v>233</v>
      </c>
      <c r="P32" s="188"/>
      <c r="Q32" s="188"/>
      <c r="R32" s="188"/>
    </row>
    <row r="33" spans="1:18" ht="23.25" customHeight="1">
      <c r="A33" s="169" t="s">
        <v>192</v>
      </c>
      <c r="B33" s="167">
        <v>26000.07</v>
      </c>
      <c r="C33" s="167">
        <v>3380</v>
      </c>
      <c r="D33" s="167">
        <v>0</v>
      </c>
      <c r="E33" s="167">
        <f>B33-C33</f>
        <v>22620.07</v>
      </c>
      <c r="F33" s="167">
        <v>7852.02</v>
      </c>
      <c r="G33" s="114" t="s">
        <v>302</v>
      </c>
      <c r="H33" s="189">
        <v>22620.07</v>
      </c>
      <c r="I33" s="116" t="s">
        <v>232</v>
      </c>
      <c r="J33" s="170" t="s">
        <v>303</v>
      </c>
      <c r="K33" s="167" t="s">
        <v>251</v>
      </c>
      <c r="L33" s="170" t="s">
        <v>232</v>
      </c>
      <c r="M33" s="113" t="s">
        <v>240</v>
      </c>
      <c r="N33" s="167">
        <v>0</v>
      </c>
      <c r="O33" s="113" t="s">
        <v>240</v>
      </c>
      <c r="P33" s="188">
        <v>-14355</v>
      </c>
      <c r="Q33" s="188">
        <v>0</v>
      </c>
      <c r="R33" s="188"/>
    </row>
    <row r="34" spans="1:18" ht="23.25" customHeight="1">
      <c r="A34" s="169"/>
      <c r="B34" s="167"/>
      <c r="C34" s="167"/>
      <c r="D34" s="167"/>
      <c r="E34" s="167"/>
      <c r="F34" s="167"/>
      <c r="G34" s="168" t="s">
        <v>306</v>
      </c>
      <c r="H34" s="189">
        <v>-14355</v>
      </c>
      <c r="I34" s="116" t="s">
        <v>224</v>
      </c>
      <c r="J34" s="170"/>
      <c r="K34" s="167"/>
      <c r="L34" s="170"/>
      <c r="M34" s="113" t="s">
        <v>240</v>
      </c>
      <c r="N34" s="167">
        <v>0</v>
      </c>
      <c r="O34" s="113" t="s">
        <v>240</v>
      </c>
      <c r="P34" s="188"/>
      <c r="Q34" s="188"/>
      <c r="R34" s="188"/>
    </row>
    <row r="35" spans="1:18" ht="23.25" customHeight="1">
      <c r="A35" s="169"/>
      <c r="B35" s="167"/>
      <c r="C35" s="167"/>
      <c r="D35" s="167"/>
      <c r="E35" s="167"/>
      <c r="F35" s="167"/>
      <c r="G35" s="168"/>
      <c r="H35" s="115">
        <v>14355</v>
      </c>
      <c r="I35" s="116" t="s">
        <v>232</v>
      </c>
      <c r="J35" s="170"/>
      <c r="K35" s="167"/>
      <c r="L35" s="170"/>
      <c r="M35" s="113" t="s">
        <v>240</v>
      </c>
      <c r="N35" s="167">
        <v>0</v>
      </c>
      <c r="O35" s="113" t="s">
        <v>240</v>
      </c>
      <c r="P35" s="188"/>
      <c r="Q35" s="188"/>
      <c r="R35" s="188"/>
    </row>
    <row r="36" spans="1:18" ht="15">
      <c r="A36" s="118" t="s">
        <v>39</v>
      </c>
      <c r="B36" s="119">
        <f>SUM(B8:B35)</f>
        <v>438426.22000000003</v>
      </c>
      <c r="C36" s="119">
        <f>SUM(C8:C35)</f>
        <v>50382</v>
      </c>
      <c r="D36" s="119">
        <f>SUM(D8:D35)</f>
        <v>50880</v>
      </c>
      <c r="E36" s="119">
        <f>SUM(E8:E35)</f>
        <v>337164.22000000003</v>
      </c>
      <c r="F36" s="120">
        <f>SUM(F8:F35)+0.01</f>
        <v>132404.72</v>
      </c>
      <c r="G36" s="118" t="s">
        <v>39</v>
      </c>
      <c r="H36" s="119">
        <f>SUM(H8:H35)</f>
        <v>337164.22000000003</v>
      </c>
      <c r="I36" s="121"/>
      <c r="J36" s="121"/>
      <c r="K36" s="128">
        <f>K8+K10+K12+K14+K16+K19+K20+K21+K22+K23+K24+K25+K27+K29+K33</f>
        <v>71555</v>
      </c>
      <c r="L36" s="121"/>
      <c r="M36" s="121"/>
      <c r="N36" s="119">
        <f>N8+N10+N12+N14+N16+N19+N20+N21+N22+N23+N24+N25+N27+N29+N4+N30+N314+N31+N32</f>
        <v>132404.72</v>
      </c>
      <c r="O36" s="121"/>
      <c r="P36" s="119">
        <f>SUM(P8:P35)</f>
        <v>33620.07</v>
      </c>
      <c r="Q36" s="119">
        <f>SUM(Q8:Q35)</f>
        <v>50880</v>
      </c>
      <c r="R36" s="119">
        <f>SUM(R8:R35)</f>
        <v>26902.750000000007</v>
      </c>
    </row>
    <row r="37" spans="1:18" s="134" customFormat="1" ht="15">
      <c r="A37" s="129"/>
      <c r="B37" s="130"/>
      <c r="C37" s="130"/>
      <c r="D37" s="130"/>
      <c r="E37" s="130"/>
      <c r="F37" s="131"/>
      <c r="G37" s="129"/>
      <c r="H37" s="130"/>
      <c r="I37" s="132"/>
      <c r="J37" s="132"/>
      <c r="K37" s="133"/>
      <c r="L37" s="132"/>
      <c r="M37" s="132"/>
      <c r="N37" s="130"/>
      <c r="O37" s="132"/>
      <c r="P37" s="130"/>
      <c r="Q37" s="130"/>
      <c r="R37" s="130"/>
    </row>
    <row r="38" spans="7:19" ht="15">
      <c r="G38" s="135" t="s">
        <v>252</v>
      </c>
      <c r="H38" s="136">
        <v>303544.15</v>
      </c>
      <c r="I38" s="137" t="s">
        <v>232</v>
      </c>
      <c r="J38" s="122"/>
      <c r="K38" s="136">
        <v>51038</v>
      </c>
      <c r="L38" s="137" t="s">
        <v>232</v>
      </c>
      <c r="M38" s="137"/>
      <c r="N38" s="137"/>
      <c r="O38" s="137"/>
      <c r="P38" s="122"/>
      <c r="Q38" s="122"/>
      <c r="R38" s="122"/>
      <c r="S38" s="123"/>
    </row>
    <row r="39" spans="7:19" ht="15">
      <c r="G39" s="123"/>
      <c r="H39" s="136">
        <v>11000</v>
      </c>
      <c r="I39" s="137" t="s">
        <v>241</v>
      </c>
      <c r="J39" s="122"/>
      <c r="K39" s="138">
        <v>0</v>
      </c>
      <c r="L39" s="137" t="s">
        <v>241</v>
      </c>
      <c r="M39" s="137"/>
      <c r="N39" s="137"/>
      <c r="O39" s="137"/>
      <c r="P39" s="122"/>
      <c r="Q39" s="122"/>
      <c r="R39" s="122"/>
      <c r="S39" s="123"/>
    </row>
    <row r="40" spans="7:19" ht="15">
      <c r="G40" s="123"/>
      <c r="H40" s="136">
        <v>22620.07</v>
      </c>
      <c r="I40" s="137" t="s">
        <v>224</v>
      </c>
      <c r="J40" s="122"/>
      <c r="K40" s="136">
        <v>50880</v>
      </c>
      <c r="L40" s="137" t="s">
        <v>224</v>
      </c>
      <c r="M40" s="137"/>
      <c r="N40" s="137"/>
      <c r="O40" s="137"/>
      <c r="P40" s="122"/>
      <c r="Q40" s="122"/>
      <c r="R40" s="122"/>
      <c r="S40" s="123"/>
    </row>
    <row r="41" spans="7:19" ht="15">
      <c r="G41" s="123"/>
      <c r="H41" s="122"/>
      <c r="I41" s="124"/>
      <c r="J41" s="122"/>
      <c r="K41" s="122"/>
      <c r="L41" s="124"/>
      <c r="M41" s="124"/>
      <c r="N41" s="124"/>
      <c r="O41" s="124"/>
      <c r="P41" s="122"/>
      <c r="Q41" s="122"/>
      <c r="R41" s="122"/>
      <c r="S41" s="123"/>
    </row>
    <row r="42" spans="7:19" ht="15">
      <c r="G42" s="135" t="s">
        <v>253</v>
      </c>
      <c r="H42" s="139"/>
      <c r="I42" s="124"/>
      <c r="J42" s="122"/>
      <c r="K42" s="122"/>
      <c r="L42" s="135" t="s">
        <v>254</v>
      </c>
      <c r="M42" s="139"/>
      <c r="N42" s="124"/>
      <c r="O42" s="122"/>
      <c r="P42" s="122"/>
      <c r="S42" s="123"/>
    </row>
    <row r="43" spans="7:19" ht="15">
      <c r="G43" s="140" t="s">
        <v>255</v>
      </c>
      <c r="H43" s="122"/>
      <c r="I43" s="124"/>
      <c r="J43" s="122"/>
      <c r="K43" s="122"/>
      <c r="L43" s="140" t="s">
        <v>256</v>
      </c>
      <c r="M43" s="122"/>
      <c r="N43" s="124"/>
      <c r="O43" s="122"/>
      <c r="P43" s="122"/>
      <c r="S43" s="123"/>
    </row>
    <row r="44" spans="7:19" ht="15">
      <c r="G44" s="140" t="s">
        <v>304</v>
      </c>
      <c r="H44" s="122"/>
      <c r="I44" s="124"/>
      <c r="J44" s="122"/>
      <c r="K44" s="122"/>
      <c r="L44" s="140" t="s">
        <v>305</v>
      </c>
      <c r="M44" s="122"/>
      <c r="N44" s="124"/>
      <c r="O44" s="122"/>
      <c r="P44" s="122"/>
      <c r="S44" s="123"/>
    </row>
    <row r="45" spans="7:19" ht="15">
      <c r="G45" s="123"/>
      <c r="H45" s="122"/>
      <c r="I45" s="124"/>
      <c r="J45" s="122"/>
      <c r="K45" s="122"/>
      <c r="L45" s="124"/>
      <c r="M45" s="124"/>
      <c r="N45" s="124"/>
      <c r="O45" s="124"/>
      <c r="P45" s="122"/>
      <c r="Q45" s="122"/>
      <c r="R45" s="122"/>
      <c r="S45" s="123"/>
    </row>
    <row r="46" spans="7:19" ht="15">
      <c r="G46" s="123"/>
      <c r="H46" s="122"/>
      <c r="I46" s="124"/>
      <c r="J46" s="122"/>
      <c r="K46" s="122"/>
      <c r="L46" s="124"/>
      <c r="M46" s="124"/>
      <c r="N46" s="124"/>
      <c r="O46" s="124"/>
      <c r="P46" s="122"/>
      <c r="Q46" s="122"/>
      <c r="R46" s="122"/>
      <c r="S46" s="123"/>
    </row>
    <row r="47" spans="7:19" ht="15">
      <c r="G47" s="123"/>
      <c r="H47" s="125"/>
      <c r="I47" s="126"/>
      <c r="J47" s="125"/>
      <c r="K47" s="125"/>
      <c r="L47" s="126"/>
      <c r="M47" s="126"/>
      <c r="N47" s="126"/>
      <c r="O47" s="126"/>
      <c r="P47" s="125"/>
      <c r="Q47" s="125"/>
      <c r="R47" s="125"/>
      <c r="S47" s="123"/>
    </row>
    <row r="48" spans="7:19" ht="15">
      <c r="G48" s="123"/>
      <c r="H48" s="125"/>
      <c r="I48" s="126"/>
      <c r="J48" s="125"/>
      <c r="K48" s="125"/>
      <c r="L48" s="125"/>
      <c r="M48" s="125"/>
      <c r="N48" s="125"/>
      <c r="O48" s="125"/>
      <c r="P48" s="125"/>
      <c r="Q48" s="125"/>
      <c r="R48" s="125"/>
      <c r="S48" s="123"/>
    </row>
    <row r="49" spans="7:19" ht="15">
      <c r="G49" s="123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3"/>
    </row>
    <row r="50" spans="7:19" ht="15">
      <c r="G50" s="123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3"/>
    </row>
    <row r="51" spans="8:18" ht="15"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8:18" ht="15"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8:18" ht="15"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</sheetData>
  <sheetProtection/>
  <autoFilter ref="A7:Q40"/>
  <mergeCells count="151">
    <mergeCell ref="P5:P6"/>
    <mergeCell ref="Q5:Q6"/>
    <mergeCell ref="R5:R6"/>
    <mergeCell ref="J8:J9"/>
    <mergeCell ref="K8:K9"/>
    <mergeCell ref="M8:M9"/>
    <mergeCell ref="N1:R1"/>
    <mergeCell ref="A3:R3"/>
    <mergeCell ref="A5:A6"/>
    <mergeCell ref="B5:F5"/>
    <mergeCell ref="G5:I5"/>
    <mergeCell ref="J5:L5"/>
    <mergeCell ref="M5:O5"/>
    <mergeCell ref="A8:A9"/>
    <mergeCell ref="B8:B9"/>
    <mergeCell ref="C8:C9"/>
    <mergeCell ref="D8:D9"/>
    <mergeCell ref="E8:E9"/>
    <mergeCell ref="F8:F9"/>
    <mergeCell ref="J10:J11"/>
    <mergeCell ref="K10:K11"/>
    <mergeCell ref="M10:M11"/>
    <mergeCell ref="N10:N11"/>
    <mergeCell ref="P10:P11"/>
    <mergeCell ref="Q10:Q11"/>
    <mergeCell ref="A10:A11"/>
    <mergeCell ref="B10:B11"/>
    <mergeCell ref="C10:C11"/>
    <mergeCell ref="D10:D11"/>
    <mergeCell ref="E10:E11"/>
    <mergeCell ref="F10:F11"/>
    <mergeCell ref="K12:K13"/>
    <mergeCell ref="M12:M13"/>
    <mergeCell ref="N8:N9"/>
    <mergeCell ref="P8:P9"/>
    <mergeCell ref="Q8:Q9"/>
    <mergeCell ref="R8:R9"/>
    <mergeCell ref="R10:R11"/>
    <mergeCell ref="P14:P15"/>
    <mergeCell ref="Q14:Q15"/>
    <mergeCell ref="R14:R15"/>
    <mergeCell ref="A12:A13"/>
    <mergeCell ref="B12:B13"/>
    <mergeCell ref="C12:C13"/>
    <mergeCell ref="D12:D13"/>
    <mergeCell ref="E12:E13"/>
    <mergeCell ref="F12:F13"/>
    <mergeCell ref="J12:J13"/>
    <mergeCell ref="A14:A15"/>
    <mergeCell ref="B14:B15"/>
    <mergeCell ref="C14:C15"/>
    <mergeCell ref="D14:D15"/>
    <mergeCell ref="E14:E15"/>
    <mergeCell ref="F14:F15"/>
    <mergeCell ref="J16:J18"/>
    <mergeCell ref="M16:M18"/>
    <mergeCell ref="N12:N13"/>
    <mergeCell ref="P12:P13"/>
    <mergeCell ref="Q12:Q13"/>
    <mergeCell ref="R12:R13"/>
    <mergeCell ref="J14:J15"/>
    <mergeCell ref="K14:K15"/>
    <mergeCell ref="M14:M15"/>
    <mergeCell ref="N14:N15"/>
    <mergeCell ref="A16:A18"/>
    <mergeCell ref="B16:B18"/>
    <mergeCell ref="C16:C18"/>
    <mergeCell ref="D16:D18"/>
    <mergeCell ref="E16:E18"/>
    <mergeCell ref="F16:F18"/>
    <mergeCell ref="R21:R22"/>
    <mergeCell ref="N16:N17"/>
    <mergeCell ref="N18:N19"/>
    <mergeCell ref="N20:N21"/>
    <mergeCell ref="N22:N23"/>
    <mergeCell ref="K16:K17"/>
    <mergeCell ref="K18:K19"/>
    <mergeCell ref="K20:K21"/>
    <mergeCell ref="K22:K23"/>
    <mergeCell ref="F19:F22"/>
    <mergeCell ref="G19:G20"/>
    <mergeCell ref="J19:J20"/>
    <mergeCell ref="M19:M20"/>
    <mergeCell ref="P21:P22"/>
    <mergeCell ref="Q21:Q22"/>
    <mergeCell ref="J25:J26"/>
    <mergeCell ref="L25:L26"/>
    <mergeCell ref="P16:P18"/>
    <mergeCell ref="Q16:Q18"/>
    <mergeCell ref="R16:R18"/>
    <mergeCell ref="A19:A22"/>
    <mergeCell ref="B19:B22"/>
    <mergeCell ref="C19:C22"/>
    <mergeCell ref="D19:D22"/>
    <mergeCell ref="E19:E22"/>
    <mergeCell ref="N24:N25"/>
    <mergeCell ref="N26:N27"/>
    <mergeCell ref="K24:K25"/>
    <mergeCell ref="K26:K27"/>
    <mergeCell ref="A25:A26"/>
    <mergeCell ref="B25:B26"/>
    <mergeCell ref="C25:C26"/>
    <mergeCell ref="D25:D26"/>
    <mergeCell ref="E25:E26"/>
    <mergeCell ref="F25:F26"/>
    <mergeCell ref="F27:F28"/>
    <mergeCell ref="J27:J28"/>
    <mergeCell ref="L27:L28"/>
    <mergeCell ref="P27:P28"/>
    <mergeCell ref="Q27:Q28"/>
    <mergeCell ref="R27:R28"/>
    <mergeCell ref="J29:J32"/>
    <mergeCell ref="L29:L32"/>
    <mergeCell ref="P25:P26"/>
    <mergeCell ref="Q25:Q26"/>
    <mergeCell ref="R25:R26"/>
    <mergeCell ref="A27:A28"/>
    <mergeCell ref="B27:B28"/>
    <mergeCell ref="C27:C28"/>
    <mergeCell ref="D27:D28"/>
    <mergeCell ref="E27:E28"/>
    <mergeCell ref="A29:A32"/>
    <mergeCell ref="B29:B32"/>
    <mergeCell ref="C29:C32"/>
    <mergeCell ref="D29:D32"/>
    <mergeCell ref="E29:E32"/>
    <mergeCell ref="F29:F32"/>
    <mergeCell ref="N28:N29"/>
    <mergeCell ref="N30:N31"/>
    <mergeCell ref="N32:N33"/>
    <mergeCell ref="N34:N35"/>
    <mergeCell ref="K28:K29"/>
    <mergeCell ref="K30:K31"/>
    <mergeCell ref="K32:K33"/>
    <mergeCell ref="F33:F35"/>
    <mergeCell ref="J33:J35"/>
    <mergeCell ref="L33:L35"/>
    <mergeCell ref="P33:P35"/>
    <mergeCell ref="Q33:Q35"/>
    <mergeCell ref="R33:R35"/>
    <mergeCell ref="G34:G35"/>
    <mergeCell ref="K34:K35"/>
    <mergeCell ref="P29:P32"/>
    <mergeCell ref="Q29:Q32"/>
    <mergeCell ref="R29:R32"/>
    <mergeCell ref="G30:G31"/>
    <mergeCell ref="A33:A35"/>
    <mergeCell ref="B33:B35"/>
    <mergeCell ref="C33:C35"/>
    <mergeCell ref="D33:D35"/>
    <mergeCell ref="E33:E35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3" sqref="K3"/>
    </sheetView>
  </sheetViews>
  <sheetFormatPr defaultColWidth="12.28125" defaultRowHeight="15"/>
  <cols>
    <col min="1" max="3" width="12.28125" style="0" customWidth="1"/>
    <col min="4" max="4" width="14.7109375" style="0" customWidth="1"/>
    <col min="5" max="7" width="12.28125" style="0" customWidth="1"/>
    <col min="8" max="8" width="16.00390625" style="0" customWidth="1"/>
    <col min="9" max="9" width="12.28125" style="0" customWidth="1"/>
    <col min="10" max="10" width="16.57421875" style="0" customWidth="1"/>
    <col min="11" max="11" width="15.8515625" style="0" customWidth="1"/>
  </cols>
  <sheetData>
    <row r="1" spans="1:11" ht="15">
      <c r="A1" s="79"/>
      <c r="B1" s="80"/>
      <c r="C1" s="80"/>
      <c r="D1" s="80"/>
      <c r="E1" s="80"/>
      <c r="F1" s="80"/>
      <c r="G1" s="80"/>
      <c r="H1" s="79"/>
      <c r="I1" s="79"/>
      <c r="J1" s="79"/>
      <c r="K1" s="81" t="s">
        <v>257</v>
      </c>
    </row>
    <row r="2" spans="1:11" ht="24.75" customHeight="1">
      <c r="A2" s="182" t="s">
        <v>258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>
      <c r="A3" s="79"/>
      <c r="B3" s="80"/>
      <c r="C3" s="80"/>
      <c r="D3" s="80"/>
      <c r="E3" s="80"/>
      <c r="F3" s="80"/>
      <c r="G3" s="80"/>
      <c r="H3" s="79"/>
      <c r="I3" s="79"/>
      <c r="J3" s="79"/>
      <c r="K3" s="81" t="s">
        <v>207</v>
      </c>
    </row>
    <row r="4" spans="1:11" ht="13.5" customHeight="1">
      <c r="A4" s="183" t="s">
        <v>208</v>
      </c>
      <c r="B4" s="184" t="s">
        <v>259</v>
      </c>
      <c r="C4" s="184"/>
      <c r="D4" s="184"/>
      <c r="E4" s="185" t="s">
        <v>260</v>
      </c>
      <c r="F4" s="185"/>
      <c r="G4" s="185"/>
      <c r="H4" s="183" t="s">
        <v>261</v>
      </c>
      <c r="I4" s="183"/>
      <c r="J4" s="183" t="s">
        <v>221</v>
      </c>
      <c r="K4" s="183" t="s">
        <v>262</v>
      </c>
    </row>
    <row r="5" spans="1:11" ht="13.5" customHeight="1">
      <c r="A5" s="183"/>
      <c r="B5" s="183" t="s">
        <v>263</v>
      </c>
      <c r="C5" s="183" t="s">
        <v>217</v>
      </c>
      <c r="D5" s="186" t="s">
        <v>264</v>
      </c>
      <c r="E5" s="187" t="s">
        <v>263</v>
      </c>
      <c r="F5" s="183" t="s">
        <v>217</v>
      </c>
      <c r="G5" s="183" t="s">
        <v>264</v>
      </c>
      <c r="H5" s="183"/>
      <c r="I5" s="183"/>
      <c r="J5" s="183"/>
      <c r="K5" s="183"/>
    </row>
    <row r="6" spans="1:11" ht="60" customHeight="1">
      <c r="A6" s="183"/>
      <c r="B6" s="183"/>
      <c r="C6" s="183"/>
      <c r="D6" s="186"/>
      <c r="E6" s="187"/>
      <c r="F6" s="183"/>
      <c r="G6" s="183"/>
      <c r="H6" s="82" t="s">
        <v>219</v>
      </c>
      <c r="I6" s="82" t="s">
        <v>220</v>
      </c>
      <c r="J6" s="183"/>
      <c r="K6" s="183"/>
    </row>
    <row r="7" spans="1:11" ht="15">
      <c r="A7" s="82">
        <v>1</v>
      </c>
      <c r="B7" s="82">
        <v>2</v>
      </c>
      <c r="C7" s="82">
        <v>3</v>
      </c>
      <c r="D7" s="87" t="s">
        <v>265</v>
      </c>
      <c r="E7" s="88">
        <v>6</v>
      </c>
      <c r="F7" s="82">
        <v>7</v>
      </c>
      <c r="G7" s="82" t="s">
        <v>266</v>
      </c>
      <c r="H7" s="82">
        <v>10</v>
      </c>
      <c r="I7" s="82">
        <v>11</v>
      </c>
      <c r="J7" s="82">
        <v>12</v>
      </c>
      <c r="K7" s="82" t="s">
        <v>267</v>
      </c>
    </row>
    <row r="8" spans="1:11" ht="23.25" customHeight="1">
      <c r="A8" s="177" t="s">
        <v>223</v>
      </c>
      <c r="B8" s="175">
        <v>17794.11</v>
      </c>
      <c r="C8" s="175">
        <v>2313</v>
      </c>
      <c r="D8" s="176">
        <f>B8-C8</f>
        <v>15481.11</v>
      </c>
      <c r="E8" s="175">
        <v>17794.11</v>
      </c>
      <c r="F8" s="175">
        <v>2313</v>
      </c>
      <c r="G8" s="176">
        <f>E8-F8</f>
        <v>15481.11</v>
      </c>
      <c r="H8" s="92" t="s">
        <v>268</v>
      </c>
      <c r="I8" s="90">
        <v>5000</v>
      </c>
      <c r="J8" s="83" t="s">
        <v>269</v>
      </c>
      <c r="K8" s="175">
        <f>G8-I8-I9</f>
        <v>0</v>
      </c>
    </row>
    <row r="9" spans="1:11" ht="15">
      <c r="A9" s="177"/>
      <c r="B9" s="175"/>
      <c r="C9" s="175"/>
      <c r="D9" s="176"/>
      <c r="E9" s="175"/>
      <c r="F9" s="175"/>
      <c r="G9" s="176"/>
      <c r="H9" s="92" t="s">
        <v>270</v>
      </c>
      <c r="I9" s="90">
        <v>10481.11</v>
      </c>
      <c r="J9" s="83" t="s">
        <v>269</v>
      </c>
      <c r="K9" s="175"/>
    </row>
    <row r="10" spans="1:11" ht="23.25" customHeight="1">
      <c r="A10" s="177" t="s">
        <v>182</v>
      </c>
      <c r="B10" s="175">
        <v>38350</v>
      </c>
      <c r="C10" s="175">
        <v>4986</v>
      </c>
      <c r="D10" s="176">
        <f>B10-C10</f>
        <v>33364</v>
      </c>
      <c r="E10" s="178">
        <v>26850</v>
      </c>
      <c r="F10" s="175">
        <v>3491</v>
      </c>
      <c r="G10" s="175">
        <f>E10-F10</f>
        <v>23359</v>
      </c>
      <c r="H10" s="92" t="s">
        <v>271</v>
      </c>
      <c r="I10" s="90">
        <v>16500</v>
      </c>
      <c r="J10" s="83" t="s">
        <v>269</v>
      </c>
      <c r="K10" s="175">
        <f>G10-I10-I11</f>
        <v>-10005</v>
      </c>
    </row>
    <row r="11" spans="1:11" ht="15">
      <c r="A11" s="177"/>
      <c r="B11" s="175"/>
      <c r="C11" s="175"/>
      <c r="D11" s="176"/>
      <c r="E11" s="178"/>
      <c r="F11" s="175"/>
      <c r="G11" s="175"/>
      <c r="H11" s="92" t="s">
        <v>272</v>
      </c>
      <c r="I11" s="90">
        <v>16864</v>
      </c>
      <c r="J11" s="83" t="s">
        <v>273</v>
      </c>
      <c r="K11" s="175"/>
    </row>
    <row r="12" spans="1:11" ht="23.25" customHeight="1">
      <c r="A12" s="177" t="s">
        <v>183</v>
      </c>
      <c r="B12" s="175">
        <v>16500</v>
      </c>
      <c r="C12" s="175">
        <v>2145</v>
      </c>
      <c r="D12" s="176">
        <f>B12-C12</f>
        <v>14355</v>
      </c>
      <c r="E12" s="175">
        <v>16500</v>
      </c>
      <c r="F12" s="175">
        <v>2145</v>
      </c>
      <c r="G12" s="176">
        <f>E12-F12</f>
        <v>14355</v>
      </c>
      <c r="H12" s="92" t="s">
        <v>274</v>
      </c>
      <c r="I12" s="90">
        <v>5000</v>
      </c>
      <c r="J12" s="83" t="s">
        <v>273</v>
      </c>
      <c r="K12" s="175">
        <f>G12-I12-I13</f>
        <v>-4500</v>
      </c>
    </row>
    <row r="13" spans="1:11" ht="15">
      <c r="A13" s="177"/>
      <c r="B13" s="175"/>
      <c r="C13" s="175"/>
      <c r="D13" s="176"/>
      <c r="E13" s="175"/>
      <c r="F13" s="175"/>
      <c r="G13" s="176"/>
      <c r="H13" s="92" t="s">
        <v>275</v>
      </c>
      <c r="I13" s="90">
        <v>13855</v>
      </c>
      <c r="J13" s="83" t="s">
        <v>273</v>
      </c>
      <c r="K13" s="175"/>
    </row>
    <row r="14" spans="1:11" ht="23.25" customHeight="1">
      <c r="A14" s="177" t="s">
        <v>184</v>
      </c>
      <c r="B14" s="175">
        <v>16500</v>
      </c>
      <c r="C14" s="175">
        <v>2145</v>
      </c>
      <c r="D14" s="176">
        <f>B14-C14</f>
        <v>14355</v>
      </c>
      <c r="E14" s="175">
        <v>16500</v>
      </c>
      <c r="F14" s="175">
        <v>2145</v>
      </c>
      <c r="G14" s="176">
        <f>E14-F14</f>
        <v>14355</v>
      </c>
      <c r="H14" s="92" t="s">
        <v>276</v>
      </c>
      <c r="I14" s="90">
        <v>5000</v>
      </c>
      <c r="J14" s="83" t="s">
        <v>273</v>
      </c>
      <c r="K14" s="175">
        <f>G14-I14-I15</f>
        <v>0</v>
      </c>
    </row>
    <row r="15" spans="1:11" ht="15">
      <c r="A15" s="177"/>
      <c r="B15" s="175"/>
      <c r="C15" s="175"/>
      <c r="D15" s="176"/>
      <c r="E15" s="175"/>
      <c r="F15" s="175"/>
      <c r="G15" s="176"/>
      <c r="H15" s="92" t="s">
        <v>277</v>
      </c>
      <c r="I15" s="90">
        <v>9355</v>
      </c>
      <c r="J15" s="83" t="s">
        <v>273</v>
      </c>
      <c r="K15" s="175"/>
    </row>
    <row r="16" spans="1:11" ht="23.25" customHeight="1">
      <c r="A16" s="181" t="s">
        <v>185</v>
      </c>
      <c r="B16" s="179">
        <v>16500</v>
      </c>
      <c r="C16" s="179">
        <v>2145</v>
      </c>
      <c r="D16" s="180">
        <f>B16-C16</f>
        <v>14355</v>
      </c>
      <c r="E16" s="179">
        <v>18418.95</v>
      </c>
      <c r="F16" s="179">
        <v>2394</v>
      </c>
      <c r="G16" s="180">
        <f>E16-F16</f>
        <v>16024.95</v>
      </c>
      <c r="H16" s="92" t="s">
        <v>278</v>
      </c>
      <c r="I16" s="90">
        <v>5000</v>
      </c>
      <c r="J16" s="83" t="s">
        <v>269</v>
      </c>
      <c r="K16" s="179">
        <f>G16-I16-I17</f>
        <v>-2830.0499999999993</v>
      </c>
    </row>
    <row r="17" spans="1:11" ht="15">
      <c r="A17" s="181"/>
      <c r="B17" s="179"/>
      <c r="C17" s="179"/>
      <c r="D17" s="180"/>
      <c r="E17" s="179"/>
      <c r="F17" s="179"/>
      <c r="G17" s="180"/>
      <c r="H17" s="92" t="s">
        <v>279</v>
      </c>
      <c r="I17" s="90">
        <v>13855</v>
      </c>
      <c r="J17" s="83" t="s">
        <v>269</v>
      </c>
      <c r="K17" s="179"/>
    </row>
    <row r="18" spans="1:11" ht="23.25" customHeight="1">
      <c r="A18" s="177" t="s">
        <v>186</v>
      </c>
      <c r="B18" s="175">
        <v>16500</v>
      </c>
      <c r="C18" s="175">
        <v>2145</v>
      </c>
      <c r="D18" s="176">
        <f>B18-C18</f>
        <v>14355</v>
      </c>
      <c r="E18" s="178">
        <v>18418.95</v>
      </c>
      <c r="F18" s="175">
        <v>2394</v>
      </c>
      <c r="G18" s="175">
        <f>E18-F18</f>
        <v>16024.95</v>
      </c>
      <c r="H18" s="92" t="s">
        <v>280</v>
      </c>
      <c r="I18" s="90">
        <v>5000</v>
      </c>
      <c r="J18" s="83" t="s">
        <v>269</v>
      </c>
      <c r="K18" s="175">
        <f>G18-I18-I19</f>
        <v>799.9500000000007</v>
      </c>
    </row>
    <row r="19" spans="1:11" ht="15">
      <c r="A19" s="177"/>
      <c r="B19" s="175"/>
      <c r="C19" s="175"/>
      <c r="D19" s="176"/>
      <c r="E19" s="178"/>
      <c r="F19" s="175"/>
      <c r="G19" s="175"/>
      <c r="H19" s="92" t="s">
        <v>281</v>
      </c>
      <c r="I19" s="90">
        <v>10225</v>
      </c>
      <c r="J19" s="83" t="s">
        <v>269</v>
      </c>
      <c r="K19" s="175"/>
    </row>
    <row r="20" spans="1:11" ht="23.25" customHeight="1">
      <c r="A20" s="177" t="s">
        <v>187</v>
      </c>
      <c r="B20" s="175">
        <v>26259.41</v>
      </c>
      <c r="C20" s="175">
        <v>3414</v>
      </c>
      <c r="D20" s="176">
        <f>B20-C20</f>
        <v>22845.41</v>
      </c>
      <c r="E20" s="178">
        <v>28274.6</v>
      </c>
      <c r="F20" s="175">
        <v>3677</v>
      </c>
      <c r="G20" s="175">
        <f>E20-F20</f>
        <v>24597.6</v>
      </c>
      <c r="H20" s="92" t="s">
        <v>282</v>
      </c>
      <c r="I20" s="90">
        <v>21557.16</v>
      </c>
      <c r="J20" s="83" t="s">
        <v>269</v>
      </c>
      <c r="K20" s="175">
        <f>G20-I20-I21</f>
        <v>2622.1899999999987</v>
      </c>
    </row>
    <row r="21" spans="1:11" ht="15">
      <c r="A21" s="177"/>
      <c r="B21" s="175"/>
      <c r="C21" s="175"/>
      <c r="D21" s="176"/>
      <c r="E21" s="178"/>
      <c r="F21" s="175"/>
      <c r="G21" s="175"/>
      <c r="H21" s="92" t="s">
        <v>283</v>
      </c>
      <c r="I21" s="90">
        <v>418.25</v>
      </c>
      <c r="J21" s="83" t="s">
        <v>269</v>
      </c>
      <c r="K21" s="175"/>
    </row>
    <row r="22" spans="1:11" ht="15">
      <c r="A22" s="89" t="s">
        <v>188</v>
      </c>
      <c r="B22" s="90">
        <v>8608.69</v>
      </c>
      <c r="C22" s="90">
        <v>1119</v>
      </c>
      <c r="D22" s="91">
        <f>B22-C22</f>
        <v>7489.6900000000005</v>
      </c>
      <c r="E22" s="93">
        <v>9609.89</v>
      </c>
      <c r="F22" s="90">
        <v>1249</v>
      </c>
      <c r="G22" s="90">
        <f>E22-F22</f>
        <v>8360.89</v>
      </c>
      <c r="H22" s="92" t="s">
        <v>284</v>
      </c>
      <c r="I22" s="90">
        <v>7489.69</v>
      </c>
      <c r="J22" s="83" t="s">
        <v>285</v>
      </c>
      <c r="K22" s="90">
        <f>G22-I22</f>
        <v>871.1999999999998</v>
      </c>
    </row>
    <row r="23" spans="1:11" ht="23.25" customHeight="1">
      <c r="A23" s="177" t="s">
        <v>189</v>
      </c>
      <c r="B23" s="175">
        <v>23261.74</v>
      </c>
      <c r="C23" s="175">
        <v>3024</v>
      </c>
      <c r="D23" s="176">
        <f>B23-C23</f>
        <v>20237.74</v>
      </c>
      <c r="E23" s="175">
        <v>18418.95</v>
      </c>
      <c r="F23" s="175">
        <v>2394</v>
      </c>
      <c r="G23" s="176">
        <f>E23-F23</f>
        <v>16024.95</v>
      </c>
      <c r="H23" s="92" t="s">
        <v>286</v>
      </c>
      <c r="I23" s="90">
        <v>10000</v>
      </c>
      <c r="J23" s="83" t="s">
        <v>273</v>
      </c>
      <c r="K23" s="175">
        <f>G23-I23-I24</f>
        <v>-4712.789999999999</v>
      </c>
    </row>
    <row r="24" spans="1:11" ht="15">
      <c r="A24" s="177"/>
      <c r="B24" s="175"/>
      <c r="C24" s="175"/>
      <c r="D24" s="176"/>
      <c r="E24" s="175"/>
      <c r="F24" s="175"/>
      <c r="G24" s="176"/>
      <c r="H24" s="92" t="s">
        <v>287</v>
      </c>
      <c r="I24" s="90">
        <v>10737.74</v>
      </c>
      <c r="J24" s="83" t="s">
        <v>269</v>
      </c>
      <c r="K24" s="175"/>
    </row>
    <row r="25" spans="1:11" ht="23.25" customHeight="1">
      <c r="A25" s="177" t="s">
        <v>190</v>
      </c>
      <c r="B25" s="175">
        <v>18414</v>
      </c>
      <c r="C25" s="175">
        <v>2394</v>
      </c>
      <c r="D25" s="176">
        <f>B25-C25</f>
        <v>16020</v>
      </c>
      <c r="E25" s="175">
        <v>18418.95</v>
      </c>
      <c r="F25" s="175">
        <v>2394</v>
      </c>
      <c r="G25" s="176">
        <f>E25-F25</f>
        <v>16024.95</v>
      </c>
      <c r="H25" s="92" t="s">
        <v>288</v>
      </c>
      <c r="I25" s="90">
        <v>10000</v>
      </c>
      <c r="J25" s="83" t="s">
        <v>273</v>
      </c>
      <c r="K25" s="175">
        <f>G25-I25-I26</f>
        <v>-3910.0499999999993</v>
      </c>
    </row>
    <row r="26" spans="1:11" ht="15">
      <c r="A26" s="177"/>
      <c r="B26" s="175"/>
      <c r="C26" s="175"/>
      <c r="D26" s="176"/>
      <c r="E26" s="175"/>
      <c r="F26" s="175"/>
      <c r="G26" s="176"/>
      <c r="H26" s="92" t="s">
        <v>289</v>
      </c>
      <c r="I26" s="90">
        <v>9935</v>
      </c>
      <c r="J26" s="83" t="s">
        <v>273</v>
      </c>
      <c r="K26" s="175"/>
    </row>
    <row r="27" spans="1:11" ht="15">
      <c r="A27" s="94" t="s">
        <v>191</v>
      </c>
      <c r="B27" s="95">
        <v>22914</v>
      </c>
      <c r="C27" s="95">
        <v>2979</v>
      </c>
      <c r="D27" s="96">
        <f>B27-C27</f>
        <v>19935</v>
      </c>
      <c r="E27" s="95">
        <v>21000</v>
      </c>
      <c r="F27" s="95">
        <v>2730</v>
      </c>
      <c r="G27" s="96">
        <f>E27-F27</f>
        <v>18270</v>
      </c>
      <c r="H27" s="92"/>
      <c r="I27" s="90"/>
      <c r="J27" s="83"/>
      <c r="K27" s="90">
        <f>G27-I27</f>
        <v>18270</v>
      </c>
    </row>
    <row r="28" spans="1:11" ht="15">
      <c r="A28" s="89" t="s">
        <v>192</v>
      </c>
      <c r="B28" s="90">
        <v>27414</v>
      </c>
      <c r="C28" s="90">
        <v>3564</v>
      </c>
      <c r="D28" s="91">
        <f>B28-C28</f>
        <v>23850</v>
      </c>
      <c r="E28" s="90">
        <v>25500</v>
      </c>
      <c r="F28" s="90">
        <v>3316</v>
      </c>
      <c r="G28" s="91">
        <f>E28-F28</f>
        <v>22184</v>
      </c>
      <c r="H28" s="92"/>
      <c r="I28" s="90"/>
      <c r="J28" s="83"/>
      <c r="K28" s="90">
        <f>G28-I28</f>
        <v>22184</v>
      </c>
    </row>
    <row r="29" spans="1:11" ht="15">
      <c r="A29" s="84" t="s">
        <v>39</v>
      </c>
      <c r="B29" s="85">
        <f>SUM(B8:B28)+0.01</f>
        <v>249015.96</v>
      </c>
      <c r="C29" s="85">
        <f>SUM(C8:C28)</f>
        <v>32373</v>
      </c>
      <c r="D29" s="97">
        <f>SUM(D8:D28)+0.01</f>
        <v>216642.96</v>
      </c>
      <c r="E29" s="98">
        <f>SUM(E8:E28)+0.01</f>
        <v>235704.41000000003</v>
      </c>
      <c r="F29" s="85">
        <f>SUM(F8:F28)</f>
        <v>30642</v>
      </c>
      <c r="G29" s="85">
        <f>SUM(G8:G28)+0.01</f>
        <v>205062.41000000003</v>
      </c>
      <c r="H29" s="99"/>
      <c r="I29" s="85">
        <f>SUM(I8:I28)</f>
        <v>186272.94999999998</v>
      </c>
      <c r="J29" s="86"/>
      <c r="K29" s="85">
        <f>SUM(K8:K28)+0.01</f>
        <v>18789.46</v>
      </c>
    </row>
  </sheetData>
  <sheetProtection/>
  <mergeCells count="85">
    <mergeCell ref="E5:E6"/>
    <mergeCell ref="F5:F6"/>
    <mergeCell ref="G5:G6"/>
    <mergeCell ref="A2:K2"/>
    <mergeCell ref="A4:A6"/>
    <mergeCell ref="B4:D4"/>
    <mergeCell ref="E4:G4"/>
    <mergeCell ref="H4:I5"/>
    <mergeCell ref="J4:J6"/>
    <mergeCell ref="K4:K6"/>
    <mergeCell ref="B5:B6"/>
    <mergeCell ref="C5:C6"/>
    <mergeCell ref="D5:D6"/>
    <mergeCell ref="K10:K11"/>
    <mergeCell ref="A8:A9"/>
    <mergeCell ref="B8:B9"/>
    <mergeCell ref="C8:C9"/>
    <mergeCell ref="D8:D9"/>
    <mergeCell ref="E8:E9"/>
    <mergeCell ref="F8:F9"/>
    <mergeCell ref="G8:G9"/>
    <mergeCell ref="K8:K9"/>
    <mergeCell ref="A10:A11"/>
    <mergeCell ref="B10:B11"/>
    <mergeCell ref="C10:C11"/>
    <mergeCell ref="D10:D11"/>
    <mergeCell ref="E10:E11"/>
    <mergeCell ref="F10:F11"/>
    <mergeCell ref="G10:G11"/>
    <mergeCell ref="K14:K15"/>
    <mergeCell ref="A12:A13"/>
    <mergeCell ref="B12:B13"/>
    <mergeCell ref="C12:C13"/>
    <mergeCell ref="D12:D13"/>
    <mergeCell ref="E12:E13"/>
    <mergeCell ref="F12:F13"/>
    <mergeCell ref="G12:G13"/>
    <mergeCell ref="K12:K13"/>
    <mergeCell ref="A14:A15"/>
    <mergeCell ref="B14:B15"/>
    <mergeCell ref="C14:C15"/>
    <mergeCell ref="D14:D15"/>
    <mergeCell ref="E14:E15"/>
    <mergeCell ref="F14:F15"/>
    <mergeCell ref="G14:G15"/>
    <mergeCell ref="K18:K19"/>
    <mergeCell ref="A16:A17"/>
    <mergeCell ref="B16:B17"/>
    <mergeCell ref="C16:C17"/>
    <mergeCell ref="D16:D17"/>
    <mergeCell ref="E16:E17"/>
    <mergeCell ref="F16:F17"/>
    <mergeCell ref="G16:G17"/>
    <mergeCell ref="K16:K17"/>
    <mergeCell ref="A18:A19"/>
    <mergeCell ref="B18:B19"/>
    <mergeCell ref="C18:C19"/>
    <mergeCell ref="D18:D19"/>
    <mergeCell ref="E18:E19"/>
    <mergeCell ref="F18:F19"/>
    <mergeCell ref="G18:G19"/>
    <mergeCell ref="K23:K24"/>
    <mergeCell ref="A20:A21"/>
    <mergeCell ref="B20:B21"/>
    <mergeCell ref="C20:C21"/>
    <mergeCell ref="D20:D21"/>
    <mergeCell ref="E20:E21"/>
    <mergeCell ref="F20:F21"/>
    <mergeCell ref="G20:G21"/>
    <mergeCell ref="K20:K21"/>
    <mergeCell ref="A23:A24"/>
    <mergeCell ref="B23:B24"/>
    <mergeCell ref="C23:C24"/>
    <mergeCell ref="D23:D24"/>
    <mergeCell ref="E23:E24"/>
    <mergeCell ref="F23:F24"/>
    <mergeCell ref="G23:G24"/>
    <mergeCell ref="F25:F26"/>
    <mergeCell ref="G25:G26"/>
    <mergeCell ref="K25:K26"/>
    <mergeCell ref="A25:A26"/>
    <mergeCell ref="B25:B26"/>
    <mergeCell ref="C25:C26"/>
    <mergeCell ref="D25:D26"/>
    <mergeCell ref="E25:E26"/>
  </mergeCells>
  <printOptions/>
  <pageMargins left="1.96875" right="0.196527777777778" top="0.492361111111111" bottom="0.492361111111111" header="0.511805555555555" footer="0.511805555555555"/>
  <pageSetup horizontalDpi="300" verticalDpi="300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T22" sqref="T22"/>
    </sheetView>
  </sheetViews>
  <sheetFormatPr defaultColWidth="11.8515625" defaultRowHeight="15"/>
  <sheetData>
    <row r="2" spans="1:15" ht="15">
      <c r="A2" s="20"/>
      <c r="B2" s="20"/>
      <c r="C2" s="20" t="s">
        <v>1</v>
      </c>
      <c r="D2" s="20" t="s">
        <v>182</v>
      </c>
      <c r="E2" s="20" t="s">
        <v>183</v>
      </c>
      <c r="F2" s="20" t="s">
        <v>184</v>
      </c>
      <c r="G2" s="20" t="s">
        <v>185</v>
      </c>
      <c r="H2" s="20" t="s">
        <v>186</v>
      </c>
      <c r="I2" s="20" t="s">
        <v>187</v>
      </c>
      <c r="J2" s="20" t="s">
        <v>188</v>
      </c>
      <c r="K2" s="20" t="s">
        <v>189</v>
      </c>
      <c r="L2" s="20" t="s">
        <v>190</v>
      </c>
      <c r="M2" s="20" t="s">
        <v>191</v>
      </c>
      <c r="N2" s="20" t="s">
        <v>192</v>
      </c>
      <c r="O2" s="20" t="s">
        <v>199</v>
      </c>
    </row>
    <row r="3" spans="1:15" ht="15">
      <c r="A3" s="20">
        <v>30307</v>
      </c>
      <c r="B3" s="100">
        <v>0.051</v>
      </c>
      <c r="C3" s="20">
        <f>3952.66+11459.5</f>
        <v>15412.16</v>
      </c>
      <c r="D3" s="20">
        <f>667.74+1505.43</f>
        <v>2173.17</v>
      </c>
      <c r="E3" s="20">
        <f>667.74+1505.43</f>
        <v>2173.17</v>
      </c>
      <c r="F3" s="20">
        <f>667.74+1505.43</f>
        <v>2173.17</v>
      </c>
      <c r="G3" s="20">
        <f>667.74+1505.43</f>
        <v>2173.17</v>
      </c>
      <c r="H3" s="20">
        <f>1053.21+1231.09</f>
        <v>2284.3</v>
      </c>
      <c r="I3" s="20">
        <f>5.36+450.23</f>
        <v>455.59000000000003</v>
      </c>
      <c r="J3" s="20">
        <f>273.51+1095.03</f>
        <v>1368.54</v>
      </c>
      <c r="K3" s="20">
        <f>29.32-31534.38+484.25</f>
        <v>-31020.81</v>
      </c>
      <c r="L3" s="20">
        <f>146.57+1681.28+484.25</f>
        <v>2312.1</v>
      </c>
      <c r="M3" s="20">
        <f>146.58+1798.53+484.25</f>
        <v>2429.3599999999997</v>
      </c>
      <c r="N3" s="20">
        <f>3016.74+1798.53-1188.57</f>
        <v>3626.7</v>
      </c>
      <c r="O3" s="20">
        <f>SUM(C3:N3)</f>
        <v>5560.619999999995</v>
      </c>
    </row>
    <row r="4" spans="1:15" ht="15">
      <c r="A4" s="20">
        <v>30310</v>
      </c>
      <c r="B4" s="100">
        <v>0.22</v>
      </c>
      <c r="C4" s="20">
        <f>17050.66+49433.12</f>
        <v>66483.78</v>
      </c>
      <c r="D4" s="20">
        <f>2930.46+6493.96</f>
        <v>9424.42</v>
      </c>
      <c r="E4" s="20">
        <f>2930.46+6493.96</f>
        <v>9424.42</v>
      </c>
      <c r="F4" s="20">
        <f>2930.46+6493.96</f>
        <v>9424.42</v>
      </c>
      <c r="G4" s="20">
        <f>2930.46+6493.96</f>
        <v>9424.42</v>
      </c>
      <c r="H4" s="20">
        <f>4543.22+5310.58</f>
        <v>9853.8</v>
      </c>
      <c r="I4" s="20">
        <f>23.1+1942.16</f>
        <v>1965.26</v>
      </c>
      <c r="J4" s="20">
        <f>1179.86+4723.62</f>
        <v>5903.48</v>
      </c>
      <c r="K4" s="20">
        <f>176.5-64968.82+2088.9</f>
        <v>-62703.42</v>
      </c>
      <c r="L4" s="20">
        <f>682.28+7252.52+2088.9</f>
        <v>10023.7</v>
      </c>
      <c r="M4" s="20">
        <f>632.28+7758.3+2088.9</f>
        <v>10479.48</v>
      </c>
      <c r="N4" s="20">
        <f>632.28+7758.3+27.78</f>
        <v>8418.36</v>
      </c>
      <c r="O4" s="20">
        <f>SUM(C4:N4)</f>
        <v>88122.11999999998</v>
      </c>
    </row>
    <row r="5" spans="1:15" ht="15">
      <c r="A5" s="20"/>
      <c r="B5" s="20"/>
      <c r="C5" s="20">
        <f aca="true" t="shared" si="0" ref="C5:N5">SUM(C3:C4)</f>
        <v>81895.94</v>
      </c>
      <c r="D5" s="20">
        <f t="shared" si="0"/>
        <v>11597.59</v>
      </c>
      <c r="E5" s="20">
        <f t="shared" si="0"/>
        <v>11597.59</v>
      </c>
      <c r="F5" s="20">
        <f t="shared" si="0"/>
        <v>11597.59</v>
      </c>
      <c r="G5" s="20">
        <f t="shared" si="0"/>
        <v>11597.59</v>
      </c>
      <c r="H5" s="20">
        <f t="shared" si="0"/>
        <v>12138.099999999999</v>
      </c>
      <c r="I5" s="20">
        <f t="shared" si="0"/>
        <v>2420.85</v>
      </c>
      <c r="J5" s="20">
        <f t="shared" si="0"/>
        <v>7272.0199999999995</v>
      </c>
      <c r="K5" s="20">
        <f t="shared" si="0"/>
        <v>-93724.23</v>
      </c>
      <c r="L5" s="20">
        <f t="shared" si="0"/>
        <v>12335.800000000001</v>
      </c>
      <c r="M5" s="20">
        <f t="shared" si="0"/>
        <v>12908.84</v>
      </c>
      <c r="N5" s="20">
        <f t="shared" si="0"/>
        <v>12045.060000000001</v>
      </c>
      <c r="O5" s="20">
        <f>SUM(C5:N5)</f>
        <v>93682.73999999999</v>
      </c>
    </row>
    <row r="22" spans="19:20" ht="15">
      <c r="S22" s="101">
        <v>3928.44</v>
      </c>
      <c r="T22" s="101">
        <v>3928.44</v>
      </c>
    </row>
    <row r="23" spans="19:20" ht="15">
      <c r="S23" s="101">
        <v>1186.39</v>
      </c>
      <c r="T23" s="101">
        <v>1186.39</v>
      </c>
    </row>
    <row r="24" spans="19:20" ht="15">
      <c r="S24" s="102">
        <v>1116150.35</v>
      </c>
      <c r="T24" s="102">
        <v>1111944.92</v>
      </c>
    </row>
    <row r="25" spans="19:20" ht="15">
      <c r="S25" s="102">
        <v>338102.12</v>
      </c>
      <c r="T25" s="102">
        <v>336655.74</v>
      </c>
    </row>
    <row r="26" spans="19:20" ht="15">
      <c r="S26" s="102">
        <v>447416.08</v>
      </c>
      <c r="T26" s="102">
        <v>447416.08</v>
      </c>
    </row>
    <row r="27" spans="19:20" ht="15">
      <c r="S27" s="102">
        <v>135957.52</v>
      </c>
      <c r="T27" s="102">
        <v>135957.51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46</v>
      </c>
    </row>
    <row r="2" spans="1:15" ht="9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9" customHeight="1">
      <c r="A4" s="1"/>
      <c r="B4" s="1"/>
      <c r="C4" s="34"/>
      <c r="D4" s="34"/>
      <c r="E4" s="34"/>
      <c r="F4" s="34"/>
      <c r="G4" s="34"/>
      <c r="H4" s="34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47</v>
      </c>
      <c r="B5" s="150"/>
      <c r="C5" s="151" t="str">
        <f>ПРИЛОЖЕНИЕ!C5</f>
        <v>По данным  расчетных ведомостей и карточек-справок</v>
      </c>
      <c r="D5" s="151"/>
      <c r="E5" s="151"/>
      <c r="F5" s="151"/>
      <c r="G5" s="151"/>
      <c r="H5" s="151" t="str">
        <f>ПРИЛОЖЕНИЕ!I5</f>
        <v>По данным проверки контрольного мероприятия</v>
      </c>
      <c r="I5" s="151"/>
      <c r="J5" s="151"/>
      <c r="K5" s="151"/>
      <c r="L5" s="151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48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6596.470000000003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6596.470000000003</v>
      </c>
      <c r="M9" s="145">
        <f>H16-C16</f>
        <v>0</v>
      </c>
      <c r="N9" s="145">
        <v>6597.37</v>
      </c>
      <c r="O9" s="145">
        <f>L9-N9</f>
        <v>-0.8999999999969077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10000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10000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49</v>
      </c>
      <c r="F11" s="11">
        <v>1550.83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49</v>
      </c>
      <c r="K11" s="35">
        <v>1550.83</v>
      </c>
      <c r="L11" s="145"/>
      <c r="M11" s="145"/>
      <c r="N11" s="145"/>
      <c r="O11" s="145"/>
      <c r="P11" s="14">
        <f>F10+G9-K10-N9</f>
        <v>-0.8999999999987267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7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</f>
        <v>14262.83</v>
      </c>
      <c r="F16" s="145"/>
      <c r="G16" s="145"/>
      <c r="H16" s="145">
        <f>I9+I10+I11+I12+I13+I14+I15</f>
        <v>20859.300000000003</v>
      </c>
      <c r="I16" s="145"/>
      <c r="J16" s="145">
        <f>K9+K10+K11</f>
        <v>14262.83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50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C25-E25</f>
        <v>18052.269999999997</v>
      </c>
      <c r="H17" s="10" t="s">
        <v>21</v>
      </c>
      <c r="I17" s="11">
        <v>12000</v>
      </c>
      <c r="J17" s="11" t="s">
        <v>13</v>
      </c>
      <c r="K17" s="17">
        <v>5067</v>
      </c>
      <c r="L17" s="145">
        <f>H25-J25</f>
        <v>20305.199999999997</v>
      </c>
      <c r="M17" s="145">
        <f>H25-C25</f>
        <v>-17.81999999999971</v>
      </c>
      <c r="N17" s="145">
        <v>18052.27</v>
      </c>
      <c r="O17" s="145">
        <f>L17-N17</f>
        <v>2252.9299999999967</v>
      </c>
      <c r="P17" s="14"/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 t="s">
        <v>49</v>
      </c>
      <c r="F19" s="11">
        <v>2268.75</v>
      </c>
      <c r="G19" s="145"/>
      <c r="H19" s="18" t="s">
        <v>23</v>
      </c>
      <c r="I19" s="11">
        <f>I17*60.6%</f>
        <v>7272</v>
      </c>
      <c r="J19" s="11" t="s">
        <v>49</v>
      </c>
      <c r="K19" s="35"/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0</v>
      </c>
    </row>
    <row r="21" spans="1:16" ht="24">
      <c r="A21" s="147"/>
      <c r="B21" s="147"/>
      <c r="C21" s="18" t="s">
        <v>16</v>
      </c>
      <c r="D21" s="11">
        <f>(D17+D18+D19+D20)*65%</f>
        <v>15911.22</v>
      </c>
      <c r="E21" s="11"/>
      <c r="F21" s="11"/>
      <c r="G21" s="145"/>
      <c r="H21" s="18" t="s">
        <v>16</v>
      </c>
      <c r="I21" s="11">
        <f>(I17+I18+I19+I20)*65%</f>
        <v>15904.2</v>
      </c>
      <c r="J21" s="17"/>
      <c r="K21" s="11"/>
      <c r="L21" s="145"/>
      <c r="M21" s="145"/>
      <c r="N21" s="145"/>
      <c r="O21" s="145"/>
      <c r="P21" s="14"/>
    </row>
    <row r="22" spans="1:16" ht="15" hidden="1">
      <c r="A22" s="147"/>
      <c r="B22" s="147"/>
      <c r="C22" s="18"/>
      <c r="D22" s="11"/>
      <c r="E22" s="11"/>
      <c r="F22" s="11"/>
      <c r="G22" s="145"/>
      <c r="H22" s="18"/>
      <c r="I22" s="11"/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7" ht="15">
      <c r="A25" s="146" t="s">
        <v>19</v>
      </c>
      <c r="B25" s="146"/>
      <c r="C25" s="145">
        <f>D17+D18+D19+D20+D21+D22+D23+D24</f>
        <v>40390.02</v>
      </c>
      <c r="D25" s="145"/>
      <c r="E25" s="145">
        <f>F17+F18+F19</f>
        <v>22337.75</v>
      </c>
      <c r="F25" s="145"/>
      <c r="G25" s="145"/>
      <c r="H25" s="145">
        <f>SUM(I17:I24)</f>
        <v>40372.2</v>
      </c>
      <c r="I25" s="145"/>
      <c r="J25" s="145">
        <f>K17+K18+K19</f>
        <v>20067</v>
      </c>
      <c r="K25" s="145"/>
      <c r="L25" s="145"/>
      <c r="M25" s="145"/>
      <c r="N25" s="145"/>
      <c r="O25" s="145"/>
      <c r="P25" s="14"/>
      <c r="Q25">
        <f>(H25+январь!H25-1400-1400)*13%-январь!K17</f>
        <v>5066.8134</v>
      </c>
    </row>
    <row r="26" spans="1:16" ht="13.5" customHeight="1">
      <c r="A26" s="147" t="s">
        <v>51</v>
      </c>
      <c r="B26" s="147"/>
      <c r="C26" s="10" t="s">
        <v>21</v>
      </c>
      <c r="D26" s="11">
        <v>10000</v>
      </c>
      <c r="E26" s="11" t="s">
        <v>13</v>
      </c>
      <c r="F26" s="17">
        <v>2602</v>
      </c>
      <c r="G26" s="145">
        <f>C31-E31</f>
        <v>7412.5</v>
      </c>
      <c r="H26" s="10" t="s">
        <v>21</v>
      </c>
      <c r="I26" s="11">
        <v>10000</v>
      </c>
      <c r="J26" s="11" t="s">
        <v>13</v>
      </c>
      <c r="K26" s="11">
        <v>2744</v>
      </c>
      <c r="L26" s="145">
        <f>H31-J31</f>
        <v>8362.800000000003</v>
      </c>
      <c r="M26" s="145">
        <f>H31-C31</f>
        <v>1092.300000000003</v>
      </c>
      <c r="N26" s="145">
        <v>7412.5</v>
      </c>
      <c r="O26" s="145">
        <f>L26-N26</f>
        <v>950.3000000000029</v>
      </c>
      <c r="P26" s="14"/>
    </row>
    <row r="27" spans="1:16" ht="36">
      <c r="A27" s="147"/>
      <c r="B27" s="147"/>
      <c r="C27" s="18" t="s">
        <v>27</v>
      </c>
      <c r="D27" s="11">
        <v>2130</v>
      </c>
      <c r="E27" s="16" t="s">
        <v>14</v>
      </c>
      <c r="F27" s="11">
        <v>10000</v>
      </c>
      <c r="G27" s="145"/>
      <c r="H27" s="18" t="s">
        <v>27</v>
      </c>
      <c r="I27" s="11">
        <v>2792</v>
      </c>
      <c r="J27" s="16" t="s">
        <v>14</v>
      </c>
      <c r="K27" s="11">
        <v>10000</v>
      </c>
      <c r="L27" s="145"/>
      <c r="M27" s="145"/>
      <c r="N27" s="145"/>
      <c r="O27" s="145"/>
      <c r="P27" s="14"/>
    </row>
    <row r="28" spans="1:16" ht="24">
      <c r="A28" s="147"/>
      <c r="B28" s="147"/>
      <c r="C28" s="18" t="s">
        <v>16</v>
      </c>
      <c r="D28" s="11">
        <v>7884.5</v>
      </c>
      <c r="E28" s="11"/>
      <c r="F28" s="11"/>
      <c r="G28" s="145"/>
      <c r="H28" s="18" t="s">
        <v>16</v>
      </c>
      <c r="I28" s="11">
        <f>(I26+I27)*65%</f>
        <v>8314.800000000001</v>
      </c>
      <c r="J28" s="11"/>
      <c r="K28" s="11"/>
      <c r="L28" s="145"/>
      <c r="M28" s="145"/>
      <c r="N28" s="145"/>
      <c r="O28" s="145"/>
      <c r="P28" s="14">
        <f>F27+G26-K27-N26</f>
        <v>0</v>
      </c>
    </row>
    <row r="29" spans="1:16" ht="7.5" customHeight="1" hidden="1">
      <c r="A29" s="147"/>
      <c r="B29" s="147"/>
      <c r="C29" s="10"/>
      <c r="D29" s="11"/>
      <c r="E29" s="11"/>
      <c r="F29" s="11"/>
      <c r="G29" s="145"/>
      <c r="H29" s="18"/>
      <c r="I29" s="11"/>
      <c r="J29" s="17"/>
      <c r="K29" s="11"/>
      <c r="L29" s="145"/>
      <c r="M29" s="145"/>
      <c r="N29" s="145"/>
      <c r="O29" s="145"/>
      <c r="P29" s="14"/>
    </row>
    <row r="30" spans="1:16" ht="12" customHeight="1" hidden="1">
      <c r="A30" s="147"/>
      <c r="B30" s="147"/>
      <c r="C30" s="18"/>
      <c r="D30" s="11"/>
      <c r="E30" s="11"/>
      <c r="F30" s="11"/>
      <c r="G30" s="145"/>
      <c r="H30" s="18"/>
      <c r="I30" s="11"/>
      <c r="J30" s="17"/>
      <c r="K30" s="11"/>
      <c r="L30" s="145"/>
      <c r="M30" s="145"/>
      <c r="N30" s="145"/>
      <c r="O30" s="145"/>
      <c r="P30" s="14"/>
    </row>
    <row r="31" spans="1:16" ht="17.25" customHeight="1">
      <c r="A31" s="146" t="s">
        <v>19</v>
      </c>
      <c r="B31" s="146"/>
      <c r="C31" s="145">
        <f>D26+D27+D29+D28</f>
        <v>20014.5</v>
      </c>
      <c r="D31" s="145"/>
      <c r="E31" s="145">
        <f>F26+F27</f>
        <v>12602</v>
      </c>
      <c r="F31" s="145"/>
      <c r="G31" s="145"/>
      <c r="H31" s="145">
        <f>I26+I27+I28+I29+I30</f>
        <v>21106.800000000003</v>
      </c>
      <c r="I31" s="145"/>
      <c r="J31" s="145">
        <f>K26+K27</f>
        <v>12744</v>
      </c>
      <c r="K31" s="145"/>
      <c r="L31" s="145"/>
      <c r="M31" s="145"/>
      <c r="N31" s="145"/>
      <c r="O31" s="145"/>
      <c r="P31" s="14"/>
    </row>
    <row r="32" spans="1:16" ht="16.5" customHeight="1">
      <c r="A32" s="147" t="s">
        <v>52</v>
      </c>
      <c r="B32" s="147"/>
      <c r="C32" s="10" t="s">
        <v>21</v>
      </c>
      <c r="D32" s="11">
        <v>14545.5</v>
      </c>
      <c r="E32" s="11" t="s">
        <v>13</v>
      </c>
      <c r="F32" s="17">
        <v>3510</v>
      </c>
      <c r="G32" s="145">
        <f>C36-E36</f>
        <v>13490.072999999997</v>
      </c>
      <c r="H32" s="10" t="s">
        <v>21</v>
      </c>
      <c r="I32" s="11">
        <v>14545.5</v>
      </c>
      <c r="J32" s="11" t="s">
        <v>13</v>
      </c>
      <c r="K32" s="11">
        <v>3595</v>
      </c>
      <c r="L32" s="145">
        <f>H36-J36</f>
        <v>14055.072999999997</v>
      </c>
      <c r="M32" s="145">
        <f>H36-C36</f>
        <v>650</v>
      </c>
      <c r="N32" s="145">
        <v>13490.07</v>
      </c>
      <c r="O32" s="145">
        <f>L32-N32</f>
        <v>565.002999999997</v>
      </c>
      <c r="P32" s="14"/>
    </row>
    <row r="33" spans="1:16" ht="29.25" customHeight="1">
      <c r="A33" s="147"/>
      <c r="B33" s="147"/>
      <c r="C33" s="19" t="s">
        <v>29</v>
      </c>
      <c r="D33" s="11">
        <v>1212.12</v>
      </c>
      <c r="E33" s="16" t="s">
        <v>14</v>
      </c>
      <c r="F33" s="11">
        <v>10000</v>
      </c>
      <c r="G33" s="145"/>
      <c r="H33" s="19" t="s">
        <v>29</v>
      </c>
      <c r="I33" s="11">
        <v>1212.12</v>
      </c>
      <c r="J33" s="16" t="s">
        <v>14</v>
      </c>
      <c r="K33" s="11">
        <v>10000</v>
      </c>
      <c r="L33" s="145"/>
      <c r="M33" s="145"/>
      <c r="N33" s="145"/>
      <c r="O33" s="145"/>
      <c r="P33" s="14"/>
    </row>
    <row r="34" spans="1:16" ht="15" customHeight="1">
      <c r="A34" s="147"/>
      <c r="B34" s="147"/>
      <c r="C34" s="19" t="s">
        <v>53</v>
      </c>
      <c r="D34" s="11">
        <v>1000</v>
      </c>
      <c r="E34" s="16"/>
      <c r="F34" s="11"/>
      <c r="G34" s="145"/>
      <c r="H34" s="19" t="s">
        <v>53</v>
      </c>
      <c r="I34" s="11">
        <v>1000</v>
      </c>
      <c r="J34" s="16"/>
      <c r="K34" s="11"/>
      <c r="L34" s="145"/>
      <c r="M34" s="145"/>
      <c r="N34" s="145"/>
      <c r="O34" s="145"/>
      <c r="P34" s="14"/>
    </row>
    <row r="35" spans="1:16" ht="18" customHeight="1">
      <c r="A35" s="147"/>
      <c r="B35" s="147"/>
      <c r="C35" s="18" t="s">
        <v>16</v>
      </c>
      <c r="D35" s="11">
        <f>(D32+D33)*65%</f>
        <v>10242.453</v>
      </c>
      <c r="E35" s="11"/>
      <c r="F35" s="11"/>
      <c r="G35" s="145"/>
      <c r="H35" s="18" t="s">
        <v>16</v>
      </c>
      <c r="I35" s="11">
        <f>(I32+I33+I34)*65%</f>
        <v>10892.453</v>
      </c>
      <c r="J35" s="17"/>
      <c r="K35" s="11"/>
      <c r="L35" s="145"/>
      <c r="M35" s="145"/>
      <c r="N35" s="145"/>
      <c r="O35" s="145"/>
      <c r="P35" s="14"/>
    </row>
    <row r="36" spans="1:16" ht="13.5" customHeight="1">
      <c r="A36" s="146" t="s">
        <v>19</v>
      </c>
      <c r="B36" s="146"/>
      <c r="C36" s="145">
        <f>D32+D33+D34+D35</f>
        <v>27000.072999999997</v>
      </c>
      <c r="D36" s="145"/>
      <c r="E36" s="145">
        <f>F32+F33</f>
        <v>13510</v>
      </c>
      <c r="F36" s="145"/>
      <c r="G36" s="145"/>
      <c r="H36" s="145">
        <f>I32+I33+I34+I35</f>
        <v>27650.072999999997</v>
      </c>
      <c r="I36" s="145"/>
      <c r="J36" s="145">
        <f>K32+K33</f>
        <v>13595</v>
      </c>
      <c r="K36" s="145"/>
      <c r="L36" s="145"/>
      <c r="M36" s="145"/>
      <c r="N36" s="145"/>
      <c r="O36" s="145"/>
      <c r="P36" s="14"/>
    </row>
    <row r="37" spans="1:16" ht="20.25" customHeight="1">
      <c r="A37" s="144" t="s">
        <v>54</v>
      </c>
      <c r="B37" s="144"/>
      <c r="C37" s="145">
        <f>C16+C25+C31+C36</f>
        <v>108263.89300000001</v>
      </c>
      <c r="D37" s="145"/>
      <c r="E37" s="145">
        <f>E16+E25+E31+E36</f>
        <v>62712.58</v>
      </c>
      <c r="F37" s="145"/>
      <c r="G37" s="12">
        <f>SUM(G9:G36)</f>
        <v>45551.312999999995</v>
      </c>
      <c r="H37" s="145">
        <f>H16+H25+H31+H36</f>
        <v>109988.37299999999</v>
      </c>
      <c r="I37" s="145"/>
      <c r="J37" s="145">
        <f>J16+J25+J31+J36</f>
        <v>60668.83</v>
      </c>
      <c r="K37" s="145"/>
      <c r="L37" s="12">
        <f>L9+L17+L26+L32</f>
        <v>49319.543</v>
      </c>
      <c r="M37" s="12">
        <f>SUM(M9:M36)</f>
        <v>1724.4800000000032</v>
      </c>
      <c r="N37" s="12">
        <f>SUM(N9:N36)</f>
        <v>45552.21</v>
      </c>
      <c r="O37" s="12">
        <f>SUM(O9:O36)</f>
        <v>3767.3329999999996</v>
      </c>
      <c r="P37" s="14"/>
    </row>
    <row r="38" spans="5:13" ht="21" customHeight="1">
      <c r="E38" s="20"/>
      <c r="F38" s="21"/>
      <c r="G38" s="21"/>
      <c r="H38" s="21"/>
      <c r="I38" s="21"/>
      <c r="J38" s="21"/>
      <c r="K38" s="21"/>
      <c r="L38" s="21"/>
      <c r="M38" s="21"/>
    </row>
    <row r="39" spans="1:13" ht="69.75" customHeight="1">
      <c r="A39" s="22"/>
      <c r="B39" s="23" t="s">
        <v>31</v>
      </c>
      <c r="C39" s="23" t="s">
        <v>32</v>
      </c>
      <c r="D39" s="24" t="s">
        <v>33</v>
      </c>
      <c r="E39" s="25" t="s">
        <v>34</v>
      </c>
      <c r="F39" s="21"/>
      <c r="G39" s="21"/>
      <c r="H39" s="21"/>
      <c r="I39" s="21"/>
      <c r="J39" s="21"/>
      <c r="K39" s="21"/>
      <c r="L39" s="21"/>
      <c r="M39" s="21"/>
    </row>
    <row r="40" spans="1:13" ht="16.5" customHeight="1">
      <c r="A40" s="22" t="s">
        <v>35</v>
      </c>
      <c r="B40" s="22">
        <f>C16-F9</f>
        <v>18147.300000000003</v>
      </c>
      <c r="C40" s="22">
        <f>K10+N9</f>
        <v>16597.37</v>
      </c>
      <c r="D40" s="25">
        <f>H16-K9</f>
        <v>18147.300000000003</v>
      </c>
      <c r="E40" s="26">
        <f>D40-C40</f>
        <v>1549.930000000004</v>
      </c>
      <c r="F40" s="21"/>
      <c r="G40" s="21"/>
      <c r="H40" s="21"/>
      <c r="I40" s="21"/>
      <c r="J40" s="21"/>
      <c r="K40" s="21"/>
      <c r="L40" s="21"/>
      <c r="M40" s="21"/>
    </row>
    <row r="41" spans="1:13" ht="15.75" customHeight="1">
      <c r="A41" s="22" t="s">
        <v>36</v>
      </c>
      <c r="B41" s="22">
        <f>C25-F17</f>
        <v>35321.02</v>
      </c>
      <c r="C41" s="22">
        <f>K18+N17</f>
        <v>33052.270000000004</v>
      </c>
      <c r="D41" s="25">
        <f>H25-K17</f>
        <v>35305.2</v>
      </c>
      <c r="E41" s="26">
        <f>D41-C41</f>
        <v>2252.929999999993</v>
      </c>
      <c r="F41" s="21"/>
      <c r="G41" s="21"/>
      <c r="H41" s="21"/>
      <c r="I41" s="21"/>
      <c r="J41" s="21">
        <f>K10+K18+K27+K33+N37</f>
        <v>90552.20999999999</v>
      </c>
      <c r="K41" s="21"/>
      <c r="L41" s="21"/>
      <c r="M41" s="21"/>
    </row>
    <row r="42" spans="1:13" ht="14.25" customHeight="1">
      <c r="A42" s="22" t="s">
        <v>37</v>
      </c>
      <c r="B42" s="22">
        <f>C31-F26</f>
        <v>17412.5</v>
      </c>
      <c r="C42" s="22">
        <f>K27+N26</f>
        <v>17412.5</v>
      </c>
      <c r="D42" s="25">
        <f>H31-K26</f>
        <v>18362.800000000003</v>
      </c>
      <c r="E42" s="26">
        <f>D42-C42</f>
        <v>950.3000000000029</v>
      </c>
      <c r="F42" s="21"/>
      <c r="G42" s="21"/>
      <c r="H42" s="21"/>
      <c r="I42" s="21"/>
      <c r="J42" s="21"/>
      <c r="K42" s="21"/>
      <c r="L42" s="21"/>
      <c r="M42" s="21"/>
    </row>
    <row r="43" spans="1:13" ht="15.75" customHeight="1">
      <c r="A43" s="22" t="s">
        <v>38</v>
      </c>
      <c r="B43" s="22">
        <f>C36-F32</f>
        <v>23490.072999999997</v>
      </c>
      <c r="C43" s="22">
        <f>K33+N32</f>
        <v>23490.07</v>
      </c>
      <c r="D43" s="25">
        <f>H36-K32</f>
        <v>24055.072999999997</v>
      </c>
      <c r="E43" s="26">
        <f>D43-C43</f>
        <v>565.002999999997</v>
      </c>
      <c r="F43" s="21"/>
      <c r="G43" s="21"/>
      <c r="H43" s="21"/>
      <c r="I43" s="21"/>
      <c r="J43" s="21"/>
      <c r="K43" s="21"/>
      <c r="L43" s="21"/>
      <c r="M43" s="21"/>
    </row>
    <row r="44" spans="1:13" ht="15.75" customHeight="1">
      <c r="A44" s="22" t="s">
        <v>39</v>
      </c>
      <c r="B44" s="22">
        <f>B40+B41+B42+B43</f>
        <v>94370.89300000001</v>
      </c>
      <c r="C44" s="22">
        <f>C40+C41+C42+C43</f>
        <v>90552.20999999999</v>
      </c>
      <c r="D44" s="25">
        <f>SUM(D40:D43)</f>
        <v>95870.37299999999</v>
      </c>
      <c r="E44" s="26">
        <f>D44-C44</f>
        <v>5318.1630000000005</v>
      </c>
      <c r="F44" s="27"/>
      <c r="G44" s="21"/>
      <c r="H44" s="21"/>
      <c r="I44" s="21"/>
      <c r="J44" s="21"/>
      <c r="K44" s="21"/>
      <c r="L44" s="21"/>
      <c r="M44" s="21"/>
    </row>
    <row r="45" spans="1:13" ht="15.75" customHeight="1">
      <c r="A45" s="28"/>
      <c r="B45" s="28"/>
      <c r="C45" s="28"/>
      <c r="D45" s="28"/>
      <c r="E45" s="25"/>
      <c r="F45" s="21"/>
      <c r="G45" s="21"/>
      <c r="H45" s="21"/>
      <c r="I45" s="21"/>
      <c r="J45" s="21"/>
      <c r="K45" s="21"/>
      <c r="L45" s="21"/>
      <c r="M45" s="21"/>
    </row>
    <row r="46" spans="1:13" ht="19.5" customHeight="1">
      <c r="A46" s="141" t="s">
        <v>40</v>
      </c>
      <c r="B46" s="141"/>
      <c r="C46" s="141"/>
      <c r="D46" s="141"/>
      <c r="E46" s="141"/>
      <c r="F46" s="21"/>
      <c r="G46" s="21"/>
      <c r="H46" s="21"/>
      <c r="I46" s="21"/>
      <c r="J46" s="21"/>
      <c r="K46" s="21"/>
      <c r="L46" s="21"/>
      <c r="M46" s="21"/>
    </row>
    <row r="47" spans="1:5" ht="24">
      <c r="A47" s="29" t="s">
        <v>41</v>
      </c>
      <c r="B47" s="23" t="s">
        <v>42</v>
      </c>
      <c r="C47" s="23" t="s">
        <v>43</v>
      </c>
      <c r="D47" s="23" t="s">
        <v>44</v>
      </c>
      <c r="E47" s="23" t="s">
        <v>34</v>
      </c>
    </row>
    <row r="48" spans="1:5" ht="15">
      <c r="A48" s="29">
        <v>111</v>
      </c>
      <c r="B48" s="22" t="s">
        <v>13</v>
      </c>
      <c r="C48" s="22">
        <f>F9+F17+F26+F32</f>
        <v>13893</v>
      </c>
      <c r="D48" s="22">
        <f>K9+K17+K26+K32</f>
        <v>14118</v>
      </c>
      <c r="E48" s="22">
        <f aca="true" t="shared" si="0" ref="E48:E55">D48-C48</f>
        <v>225</v>
      </c>
    </row>
    <row r="49" spans="1:5" ht="15">
      <c r="A49" s="142" t="s">
        <v>39</v>
      </c>
      <c r="B49" s="142"/>
      <c r="C49" s="29">
        <f>SUM(C48:C48)</f>
        <v>13893</v>
      </c>
      <c r="D49" s="29">
        <f>SUM(D48:D48)</f>
        <v>14118</v>
      </c>
      <c r="E49" s="22">
        <f t="shared" si="0"/>
        <v>225</v>
      </c>
    </row>
    <row r="50" spans="1:7" ht="15">
      <c r="A50" s="29">
        <v>119</v>
      </c>
      <c r="B50" s="30">
        <v>0.22</v>
      </c>
      <c r="C50" s="22">
        <v>23818.06</v>
      </c>
      <c r="D50" s="22">
        <f>(H37-I22-I14)*22%</f>
        <v>24197.442059999998</v>
      </c>
      <c r="E50" s="22">
        <f t="shared" si="0"/>
        <v>379.3820599999963</v>
      </c>
      <c r="F50" s="31"/>
      <c r="G50" s="14"/>
    </row>
    <row r="51" spans="1:7" ht="15">
      <c r="A51" s="29">
        <v>119</v>
      </c>
      <c r="B51" s="30">
        <v>0.029</v>
      </c>
      <c r="C51" s="22">
        <v>3139.65</v>
      </c>
      <c r="D51" s="22">
        <f>(H37-I14-I22)*2.9%</f>
        <v>3189.6628169999994</v>
      </c>
      <c r="E51" s="22">
        <f t="shared" si="0"/>
        <v>50.01281699999936</v>
      </c>
      <c r="F51" s="31"/>
      <c r="G51" s="14"/>
    </row>
    <row r="52" spans="1:7" ht="15">
      <c r="A52" s="29">
        <v>119</v>
      </c>
      <c r="B52" s="30">
        <v>0.051</v>
      </c>
      <c r="C52" s="22">
        <v>5521.46</v>
      </c>
      <c r="D52" s="22">
        <f>(H37-I22-I14)*5.1%</f>
        <v>5609.407022999999</v>
      </c>
      <c r="E52" s="22">
        <f t="shared" si="0"/>
        <v>87.94702299999881</v>
      </c>
      <c r="F52" s="31"/>
      <c r="G52" s="14"/>
    </row>
    <row r="53" spans="1:7" ht="15">
      <c r="A53" s="29">
        <v>119</v>
      </c>
      <c r="B53" s="30">
        <v>0.002</v>
      </c>
      <c r="C53" s="22">
        <v>216.53</v>
      </c>
      <c r="D53" s="22">
        <f>(H37-I14-I22)*0.2%</f>
        <v>219.976746</v>
      </c>
      <c r="E53" s="22">
        <f t="shared" si="0"/>
        <v>3.4467459999999903</v>
      </c>
      <c r="F53" s="31"/>
      <c r="G53" s="14"/>
    </row>
    <row r="54" spans="1:7" ht="15">
      <c r="A54" s="143" t="s">
        <v>39</v>
      </c>
      <c r="B54" s="143"/>
      <c r="C54" s="32">
        <f>SUM(C50:C53)</f>
        <v>32695.7</v>
      </c>
      <c r="D54" s="32">
        <f>SUM(D50:D53)</f>
        <v>33216.488646</v>
      </c>
      <c r="E54" s="22">
        <f t="shared" si="0"/>
        <v>520.7886459999972</v>
      </c>
      <c r="F54" s="33"/>
      <c r="G54" s="33"/>
    </row>
    <row r="55" spans="1:5" ht="15">
      <c r="A55" s="142" t="s">
        <v>45</v>
      </c>
      <c r="B55" s="142"/>
      <c r="C55" s="29">
        <f>C49+C54</f>
        <v>46588.7</v>
      </c>
      <c r="D55" s="29">
        <f>D49+D54</f>
        <v>47334.488646</v>
      </c>
      <c r="E55" s="22">
        <f t="shared" si="0"/>
        <v>745.7886460000009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4"/>
    <mergeCell ref="G17:G25"/>
    <mergeCell ref="L17:L25"/>
    <mergeCell ref="M17:M25"/>
    <mergeCell ref="N17:N25"/>
    <mergeCell ref="N9:N16"/>
    <mergeCell ref="G26:G31"/>
    <mergeCell ref="L26:L31"/>
    <mergeCell ref="M26:M31"/>
    <mergeCell ref="N26:N31"/>
    <mergeCell ref="O17:O25"/>
    <mergeCell ref="A25:B25"/>
    <mergeCell ref="C25:D25"/>
    <mergeCell ref="E25:F25"/>
    <mergeCell ref="H25:I25"/>
    <mergeCell ref="J25:K25"/>
    <mergeCell ref="L32:L36"/>
    <mergeCell ref="M32:M36"/>
    <mergeCell ref="N32:N36"/>
    <mergeCell ref="O26:O31"/>
    <mergeCell ref="A31:B31"/>
    <mergeCell ref="C31:D31"/>
    <mergeCell ref="E31:F31"/>
    <mergeCell ref="H31:I31"/>
    <mergeCell ref="J31:K31"/>
    <mergeCell ref="A26:B30"/>
    <mergeCell ref="H37:I37"/>
    <mergeCell ref="J37:K37"/>
    <mergeCell ref="O32:O36"/>
    <mergeCell ref="A36:B36"/>
    <mergeCell ref="C36:D36"/>
    <mergeCell ref="E36:F36"/>
    <mergeCell ref="H36:I36"/>
    <mergeCell ref="J36:K36"/>
    <mergeCell ref="A32:B35"/>
    <mergeCell ref="G32:G36"/>
    <mergeCell ref="A46:E46"/>
    <mergeCell ref="A49:B49"/>
    <mergeCell ref="A54:B54"/>
    <mergeCell ref="A55:B55"/>
    <mergeCell ref="A37:B37"/>
    <mergeCell ref="C37:D37"/>
    <mergeCell ref="E37:F37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0.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55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56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57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7000.000000000004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7000.000000000004</v>
      </c>
      <c r="M9" s="145">
        <f>H16-C16</f>
        <v>0</v>
      </c>
      <c r="N9" s="145">
        <v>7000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10000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10000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1147.3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1147.3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7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</f>
        <v>13859.3</v>
      </c>
      <c r="F16" s="145"/>
      <c r="G16" s="145"/>
      <c r="H16" s="145">
        <f>I9+I10+I11+I12+I13+I14+I15</f>
        <v>20859.300000000003</v>
      </c>
      <c r="I16" s="145"/>
      <c r="J16" s="145">
        <f>K9+K10+K11</f>
        <v>13859.3</v>
      </c>
      <c r="K16" s="145"/>
      <c r="L16" s="145"/>
      <c r="M16" s="145"/>
      <c r="N16" s="145"/>
      <c r="O16" s="145"/>
      <c r="P16" s="14"/>
    </row>
    <row r="17" spans="1:17" ht="13.5" customHeight="1">
      <c r="A17" s="147" t="s">
        <v>59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C25-E25</f>
        <v>4217.209999999999</v>
      </c>
      <c r="H17" s="10" t="s">
        <v>21</v>
      </c>
      <c r="I17" s="11">
        <v>12000</v>
      </c>
      <c r="J17" s="11" t="s">
        <v>13</v>
      </c>
      <c r="K17" s="17">
        <v>5066</v>
      </c>
      <c r="L17" s="145">
        <f>H25-J25</f>
        <v>4202.389999999999</v>
      </c>
      <c r="M17" s="145">
        <f>H25-C25</f>
        <v>-17.81999999999971</v>
      </c>
      <c r="N17" s="145">
        <v>4217.21</v>
      </c>
      <c r="O17" s="145">
        <f>L17-N17</f>
        <v>-14.820000000000618</v>
      </c>
      <c r="P17" s="14"/>
      <c r="Q17">
        <f>(январь!H25+февраль!H25+H25-4200)*13%-январь!K17-февраль!K17</f>
        <v>5066.199400000001</v>
      </c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 t="s">
        <v>58</v>
      </c>
      <c r="F19" s="11">
        <v>16103.81</v>
      </c>
      <c r="G19" s="145"/>
      <c r="H19" s="18" t="s">
        <v>23</v>
      </c>
      <c r="I19" s="11">
        <f>I17*60.6%</f>
        <v>7272</v>
      </c>
      <c r="J19" s="11" t="s">
        <v>58</v>
      </c>
      <c r="K19" s="11">
        <v>16103.81</v>
      </c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0</v>
      </c>
    </row>
    <row r="21" spans="1:16" ht="24">
      <c r="A21" s="147"/>
      <c r="B21" s="147"/>
      <c r="C21" s="18" t="s">
        <v>16</v>
      </c>
      <c r="D21" s="11">
        <f>(D17+D18+D19+D20)*65%</f>
        <v>15911.22</v>
      </c>
      <c r="E21" s="11"/>
      <c r="F21" s="11"/>
      <c r="G21" s="145"/>
      <c r="H21" s="18" t="s">
        <v>16</v>
      </c>
      <c r="I21" s="11">
        <f>(I17+I18+I19+I20)*65%</f>
        <v>15904.2</v>
      </c>
      <c r="J21" s="17"/>
      <c r="K21" s="11"/>
      <c r="L21" s="145"/>
      <c r="M21" s="145"/>
      <c r="N21" s="145"/>
      <c r="O21" s="145"/>
      <c r="P21" s="14"/>
    </row>
    <row r="22" spans="1:16" ht="15" hidden="1">
      <c r="A22" s="147"/>
      <c r="B22" s="147"/>
      <c r="C22" s="18"/>
      <c r="D22" s="11"/>
      <c r="E22" s="11"/>
      <c r="F22" s="11"/>
      <c r="G22" s="145"/>
      <c r="H22" s="18"/>
      <c r="I22" s="11"/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>
      <c r="A25" s="146" t="s">
        <v>19</v>
      </c>
      <c r="B25" s="146"/>
      <c r="C25" s="145">
        <f>D17+D18+D19+D20+D21+D22+D23+D24</f>
        <v>40390.02</v>
      </c>
      <c r="D25" s="145"/>
      <c r="E25" s="145">
        <f>F17+F18+F19</f>
        <v>36172.81</v>
      </c>
      <c r="F25" s="145"/>
      <c r="G25" s="145"/>
      <c r="H25" s="145">
        <f>SUM(I17:I24)</f>
        <v>40372.2</v>
      </c>
      <c r="I25" s="145"/>
      <c r="J25" s="145">
        <f>K17+K18+K19</f>
        <v>36169.81</v>
      </c>
      <c r="K25" s="145"/>
      <c r="L25" s="145"/>
      <c r="M25" s="145"/>
      <c r="N25" s="145"/>
      <c r="O25" s="145"/>
      <c r="P25" s="14"/>
    </row>
    <row r="26" spans="1:17" ht="13.5" customHeight="1">
      <c r="A26" s="147" t="s">
        <v>60</v>
      </c>
      <c r="B26" s="147"/>
      <c r="C26" s="10" t="s">
        <v>21</v>
      </c>
      <c r="D26" s="11">
        <v>10000</v>
      </c>
      <c r="E26" s="11" t="s">
        <v>13</v>
      </c>
      <c r="F26" s="17">
        <v>3912</v>
      </c>
      <c r="G26" s="145">
        <f>C32-E32</f>
        <v>13721.400000000001</v>
      </c>
      <c r="H26" s="10" t="s">
        <v>21</v>
      </c>
      <c r="I26" s="11">
        <v>10000</v>
      </c>
      <c r="J26" s="11" t="s">
        <v>13</v>
      </c>
      <c r="K26" s="11">
        <v>3604</v>
      </c>
      <c r="L26" s="145">
        <f>H32-J32</f>
        <v>11658</v>
      </c>
      <c r="M26" s="145">
        <f>H32-C32</f>
        <v>-2371.4000000000015</v>
      </c>
      <c r="N26" s="145">
        <v>13721.4</v>
      </c>
      <c r="O26" s="145">
        <f>L26-N26</f>
        <v>-2063.3999999999996</v>
      </c>
      <c r="P26" s="14"/>
      <c r="Q26">
        <f>I26-D26</f>
        <v>0</v>
      </c>
    </row>
    <row r="27" spans="1:17" ht="36">
      <c r="A27" s="147"/>
      <c r="B27" s="147"/>
      <c r="C27" s="18" t="s">
        <v>61</v>
      </c>
      <c r="D27" s="11">
        <v>4116</v>
      </c>
      <c r="E27" s="16" t="s">
        <v>14</v>
      </c>
      <c r="F27" s="11">
        <v>10000</v>
      </c>
      <c r="G27" s="145"/>
      <c r="H27" s="18" t="s">
        <v>27</v>
      </c>
      <c r="I27" s="11">
        <v>0</v>
      </c>
      <c r="J27" s="16" t="s">
        <v>14</v>
      </c>
      <c r="K27" s="11">
        <v>10000</v>
      </c>
      <c r="L27" s="145"/>
      <c r="M27" s="145"/>
      <c r="N27" s="145"/>
      <c r="O27" s="145"/>
      <c r="P27" s="14"/>
      <c r="Q27">
        <f>I27-D27</f>
        <v>-4116</v>
      </c>
    </row>
    <row r="28" spans="1:17" ht="15">
      <c r="A28" s="147"/>
      <c r="B28" s="147"/>
      <c r="C28" s="10" t="s">
        <v>62</v>
      </c>
      <c r="D28" s="11">
        <v>6800</v>
      </c>
      <c r="E28" s="11" t="s">
        <v>58</v>
      </c>
      <c r="F28" s="11">
        <v>2458</v>
      </c>
      <c r="G28" s="145"/>
      <c r="H28" s="18" t="s">
        <v>62</v>
      </c>
      <c r="I28" s="11">
        <v>6800</v>
      </c>
      <c r="J28" s="11" t="s">
        <v>58</v>
      </c>
      <c r="K28" s="11">
        <v>2458</v>
      </c>
      <c r="L28" s="145"/>
      <c r="M28" s="145"/>
      <c r="N28" s="145"/>
      <c r="O28" s="145"/>
      <c r="P28" s="14"/>
      <c r="Q28">
        <f>I28-D28</f>
        <v>0</v>
      </c>
    </row>
    <row r="29" spans="1:17" ht="24">
      <c r="A29" s="147"/>
      <c r="B29" s="147"/>
      <c r="C29" s="18" t="s">
        <v>16</v>
      </c>
      <c r="D29" s="11">
        <v>9175.4</v>
      </c>
      <c r="E29" s="11"/>
      <c r="F29" s="11"/>
      <c r="G29" s="145"/>
      <c r="H29" s="18" t="s">
        <v>16</v>
      </c>
      <c r="I29" s="11">
        <f>(I28+I26+I27)*65%</f>
        <v>10920</v>
      </c>
      <c r="J29" s="11"/>
      <c r="K29" s="11"/>
      <c r="L29" s="145"/>
      <c r="M29" s="145"/>
      <c r="N29" s="145"/>
      <c r="O29" s="145"/>
      <c r="P29" s="14">
        <f>F27+G26-K27-N26</f>
        <v>0</v>
      </c>
      <c r="Q29">
        <f>I29-D29</f>
        <v>1744.6000000000004</v>
      </c>
    </row>
    <row r="30" spans="1:16" ht="15" hidden="1">
      <c r="A30" s="147"/>
      <c r="B30" s="147"/>
      <c r="C30" s="10"/>
      <c r="D30" s="11"/>
      <c r="E30" s="11"/>
      <c r="F30" s="11"/>
      <c r="G30" s="145"/>
      <c r="H30" s="18"/>
      <c r="I30" s="11"/>
      <c r="J30" s="17"/>
      <c r="K30" s="11"/>
      <c r="L30" s="145"/>
      <c r="M30" s="145"/>
      <c r="N30" s="145"/>
      <c r="O30" s="145"/>
      <c r="P30" s="14"/>
    </row>
    <row r="31" spans="1:16" ht="7.5" customHeight="1" hidden="1">
      <c r="A31" s="147"/>
      <c r="B31" s="147"/>
      <c r="C31" s="18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17.25" customHeight="1">
      <c r="A32" s="146" t="s">
        <v>19</v>
      </c>
      <c r="B32" s="146"/>
      <c r="C32" s="145">
        <f>D26+D27+D28+D30+D29</f>
        <v>30091.4</v>
      </c>
      <c r="D32" s="145"/>
      <c r="E32" s="145">
        <f>F26+F27+F28+F29</f>
        <v>16370</v>
      </c>
      <c r="F32" s="145"/>
      <c r="G32" s="145"/>
      <c r="H32" s="145">
        <f>I26+I27+I29+I30+I28</f>
        <v>27720</v>
      </c>
      <c r="I32" s="145"/>
      <c r="J32" s="145">
        <f>K26+K27+K28+K29</f>
        <v>16062</v>
      </c>
      <c r="K32" s="145"/>
      <c r="L32" s="145"/>
      <c r="M32" s="145"/>
      <c r="N32" s="145"/>
      <c r="O32" s="145"/>
      <c r="P32" s="14"/>
    </row>
    <row r="33" spans="1:16" ht="16.5" customHeight="1">
      <c r="A33" s="147" t="s">
        <v>63</v>
      </c>
      <c r="B33" s="147"/>
      <c r="C33" s="10" t="s">
        <v>21</v>
      </c>
      <c r="D33" s="11">
        <v>14545.5</v>
      </c>
      <c r="E33" s="11" t="s">
        <v>13</v>
      </c>
      <c r="F33" s="17">
        <v>4264</v>
      </c>
      <c r="G33" s="145">
        <f>C37-E37</f>
        <v>18536.072999999997</v>
      </c>
      <c r="H33" s="10" t="s">
        <v>21</v>
      </c>
      <c r="I33" s="11">
        <v>14545.5</v>
      </c>
      <c r="J33" s="11" t="s">
        <v>13</v>
      </c>
      <c r="K33" s="11">
        <v>4839</v>
      </c>
      <c r="L33" s="145">
        <f>H37-J37</f>
        <v>22381.072999999997</v>
      </c>
      <c r="M33" s="145">
        <f>H37-C37</f>
        <v>4420</v>
      </c>
      <c r="N33" s="145">
        <v>18536.07</v>
      </c>
      <c r="O33" s="145">
        <f>L33-N33</f>
        <v>3845.002999999997</v>
      </c>
      <c r="P33" s="14"/>
    </row>
    <row r="34" spans="1:16" ht="29.25" customHeight="1">
      <c r="A34" s="147"/>
      <c r="B34" s="147"/>
      <c r="C34" s="19" t="s">
        <v>29</v>
      </c>
      <c r="D34" s="11">
        <v>1212.12</v>
      </c>
      <c r="E34" s="16" t="s">
        <v>14</v>
      </c>
      <c r="F34" s="11">
        <v>10000</v>
      </c>
      <c r="G34" s="145"/>
      <c r="H34" s="19" t="s">
        <v>29</v>
      </c>
      <c r="I34" s="11">
        <v>1212.12</v>
      </c>
      <c r="J34" s="16" t="s">
        <v>14</v>
      </c>
      <c r="K34" s="11">
        <v>10000</v>
      </c>
      <c r="L34" s="145"/>
      <c r="M34" s="145"/>
      <c r="N34" s="145"/>
      <c r="O34" s="145"/>
      <c r="P34" s="14"/>
    </row>
    <row r="35" spans="1:16" ht="15" customHeight="1">
      <c r="A35" s="147"/>
      <c r="B35" s="147"/>
      <c r="C35" s="19" t="s">
        <v>62</v>
      </c>
      <c r="D35" s="11">
        <v>6800</v>
      </c>
      <c r="E35" s="16"/>
      <c r="F35" s="11"/>
      <c r="G35" s="145"/>
      <c r="H35" s="19" t="s">
        <v>62</v>
      </c>
      <c r="I35" s="11">
        <v>6800</v>
      </c>
      <c r="J35" s="16"/>
      <c r="K35" s="11"/>
      <c r="L35" s="145"/>
      <c r="M35" s="145"/>
      <c r="N35" s="145"/>
      <c r="O35" s="145"/>
      <c r="P35" s="14"/>
    </row>
    <row r="36" spans="1:16" ht="18" customHeight="1">
      <c r="A36" s="147"/>
      <c r="B36" s="147"/>
      <c r="C36" s="18" t="s">
        <v>16</v>
      </c>
      <c r="D36" s="11">
        <f>(D33+D34)*65%</f>
        <v>10242.453</v>
      </c>
      <c r="E36" s="11"/>
      <c r="F36" s="11"/>
      <c r="G36" s="145"/>
      <c r="H36" s="18" t="s">
        <v>16</v>
      </c>
      <c r="I36" s="11">
        <f>(I33+I34+I35)*65%</f>
        <v>14662.453</v>
      </c>
      <c r="J36" s="17"/>
      <c r="K36" s="11"/>
      <c r="L36" s="145"/>
      <c r="M36" s="145"/>
      <c r="N36" s="145"/>
      <c r="O36" s="145"/>
      <c r="P36" s="14"/>
    </row>
    <row r="37" spans="1:16" ht="13.5" customHeight="1">
      <c r="A37" s="146" t="s">
        <v>19</v>
      </c>
      <c r="B37" s="146"/>
      <c r="C37" s="145">
        <f>D33+D34+D35+D36</f>
        <v>32800.073</v>
      </c>
      <c r="D37" s="145"/>
      <c r="E37" s="145">
        <f>F33+F34</f>
        <v>14264</v>
      </c>
      <c r="F37" s="145"/>
      <c r="G37" s="145"/>
      <c r="H37" s="145">
        <f>I33+I34+I35+I36</f>
        <v>37220.073</v>
      </c>
      <c r="I37" s="145"/>
      <c r="J37" s="145">
        <f>K33+K34</f>
        <v>14839</v>
      </c>
      <c r="K37" s="145"/>
      <c r="L37" s="145"/>
      <c r="M37" s="145"/>
      <c r="N37" s="145"/>
      <c r="O37" s="145"/>
      <c r="P37" s="14"/>
    </row>
    <row r="38" spans="1:16" ht="20.25" customHeight="1">
      <c r="A38" s="144" t="s">
        <v>54</v>
      </c>
      <c r="B38" s="144"/>
      <c r="C38" s="145">
        <f>C16+C25+C32+C37</f>
        <v>124140.793</v>
      </c>
      <c r="D38" s="145"/>
      <c r="E38" s="145">
        <f>E16+E25+E32+E37</f>
        <v>80666.11</v>
      </c>
      <c r="F38" s="145"/>
      <c r="G38" s="12">
        <f>SUM(G9:G37)</f>
        <v>43474.683000000005</v>
      </c>
      <c r="H38" s="145">
        <f>H16+H25+H32+H37</f>
        <v>126171.573</v>
      </c>
      <c r="I38" s="145"/>
      <c r="J38" s="145">
        <f>J16+J25+J32+J37</f>
        <v>80930.11</v>
      </c>
      <c r="K38" s="145"/>
      <c r="L38" s="12">
        <f>L9+L17+L26+L33</f>
        <v>45241.463</v>
      </c>
      <c r="M38" s="12">
        <f>SUM(M9:M37)</f>
        <v>2030.7799999999988</v>
      </c>
      <c r="N38" s="12">
        <f>SUM(N9:N37)</f>
        <v>43474.68</v>
      </c>
      <c r="O38" s="12">
        <f>SUM(O9:O37)</f>
        <v>1766.7829999999967</v>
      </c>
      <c r="P38" s="14"/>
    </row>
    <row r="39" spans="5:13" ht="21" customHeight="1">
      <c r="E39" s="20"/>
      <c r="F39" s="21"/>
      <c r="G39" s="21"/>
      <c r="H39" s="21"/>
      <c r="I39" s="21"/>
      <c r="J39" s="21"/>
      <c r="K39" s="21"/>
      <c r="L39" s="21"/>
      <c r="M39" s="21"/>
    </row>
    <row r="40" spans="1:13" ht="69.75" customHeight="1">
      <c r="A40" s="22"/>
      <c r="B40" s="23" t="s">
        <v>31</v>
      </c>
      <c r="C40" s="23" t="s">
        <v>32</v>
      </c>
      <c r="D40" s="24" t="s">
        <v>33</v>
      </c>
      <c r="E40" s="25" t="s">
        <v>34</v>
      </c>
      <c r="F40" s="21"/>
      <c r="G40" s="21"/>
      <c r="H40" s="21"/>
      <c r="I40" s="21"/>
      <c r="J40" s="21"/>
      <c r="K40" s="21"/>
      <c r="L40" s="21"/>
      <c r="M40" s="21"/>
    </row>
    <row r="41" spans="1:13" ht="16.5" customHeight="1">
      <c r="A41" s="22" t="s">
        <v>35</v>
      </c>
      <c r="B41" s="22">
        <f>C16-F9</f>
        <v>18147.300000000003</v>
      </c>
      <c r="C41" s="22">
        <f>K10+N9</f>
        <v>17000</v>
      </c>
      <c r="D41" s="25">
        <f>H16-K9</f>
        <v>18147.300000000003</v>
      </c>
      <c r="E41" s="26">
        <f>D41-C41</f>
        <v>1147.300000000003</v>
      </c>
      <c r="F41" s="21"/>
      <c r="G41" s="21"/>
      <c r="H41" s="21"/>
      <c r="I41" s="21"/>
      <c r="J41" s="21">
        <f>K10+K18+K27+K34+N38</f>
        <v>88474.68</v>
      </c>
      <c r="K41" s="21"/>
      <c r="L41" s="21"/>
      <c r="M41" s="21"/>
    </row>
    <row r="42" spans="1:13" ht="15.75" customHeight="1">
      <c r="A42" s="22" t="s">
        <v>36</v>
      </c>
      <c r="B42" s="22">
        <f>C25-F17</f>
        <v>35321.02</v>
      </c>
      <c r="C42" s="22">
        <f>K18+N17</f>
        <v>19217.21</v>
      </c>
      <c r="D42" s="25">
        <f>H25-K17</f>
        <v>35306.2</v>
      </c>
      <c r="E42" s="26">
        <f>D42-C42</f>
        <v>16088.989999999998</v>
      </c>
      <c r="F42" s="21"/>
      <c r="G42" s="21"/>
      <c r="H42" s="21"/>
      <c r="I42" s="21"/>
      <c r="J42" s="21"/>
      <c r="K42" s="21"/>
      <c r="L42" s="21"/>
      <c r="M42" s="21"/>
    </row>
    <row r="43" spans="1:13" ht="14.25" customHeight="1">
      <c r="A43" s="22" t="s">
        <v>37</v>
      </c>
      <c r="B43" s="22">
        <f>C32-F26</f>
        <v>26179.4</v>
      </c>
      <c r="C43" s="22">
        <f>K27+N26</f>
        <v>23721.4</v>
      </c>
      <c r="D43" s="25">
        <f>H32-K26</f>
        <v>24116</v>
      </c>
      <c r="E43" s="26">
        <f>D43-C43</f>
        <v>394.59999999999854</v>
      </c>
      <c r="F43" s="21"/>
      <c r="G43" s="21"/>
      <c r="H43" s="21"/>
      <c r="I43" s="21"/>
      <c r="J43" s="21"/>
      <c r="K43" s="21"/>
      <c r="L43" s="21"/>
      <c r="M43" s="21"/>
    </row>
    <row r="44" spans="1:13" ht="15.75" customHeight="1">
      <c r="A44" s="22" t="s">
        <v>38</v>
      </c>
      <c r="B44" s="22">
        <f>C37-F33</f>
        <v>28536.072999999997</v>
      </c>
      <c r="C44" s="22">
        <f>K34+N33</f>
        <v>28536.07</v>
      </c>
      <c r="D44" s="25">
        <f>H37-K33</f>
        <v>32381.072999999997</v>
      </c>
      <c r="E44" s="26">
        <f>D44-C44</f>
        <v>3845.002999999997</v>
      </c>
      <c r="F44" s="21"/>
      <c r="G44" s="21"/>
      <c r="H44" s="21"/>
      <c r="I44" s="21"/>
      <c r="J44" s="21"/>
      <c r="K44" s="21"/>
      <c r="L44" s="21"/>
      <c r="M44" s="21"/>
    </row>
    <row r="45" spans="1:13" ht="15.75" customHeight="1">
      <c r="A45" s="22" t="s">
        <v>39</v>
      </c>
      <c r="B45" s="22">
        <f>B41+B42+B43+B44</f>
        <v>108183.793</v>
      </c>
      <c r="C45" s="22">
        <f>C41+C42+C43+C44</f>
        <v>88474.68</v>
      </c>
      <c r="D45" s="25">
        <f>SUM(D41:D44)</f>
        <v>109950.573</v>
      </c>
      <c r="E45" s="26">
        <f>D45-C45</f>
        <v>21475.89300000001</v>
      </c>
      <c r="F45" s="27"/>
      <c r="G45" s="21"/>
      <c r="H45" s="21"/>
      <c r="I45" s="21"/>
      <c r="J45" s="21"/>
      <c r="K45" s="21"/>
      <c r="L45" s="21"/>
      <c r="M45" s="21"/>
    </row>
    <row r="46" spans="1:13" ht="15.75" customHeight="1">
      <c r="A46" s="28"/>
      <c r="B46" s="28"/>
      <c r="C46" s="28"/>
      <c r="D46" s="28"/>
      <c r="E46" s="25"/>
      <c r="F46" s="21"/>
      <c r="G46" s="21"/>
      <c r="H46" s="21"/>
      <c r="I46" s="21"/>
      <c r="J46" s="21"/>
      <c r="K46" s="21"/>
      <c r="L46" s="21"/>
      <c r="M46" s="21"/>
    </row>
    <row r="47" spans="1:13" ht="19.5" customHeight="1">
      <c r="A47" s="141" t="s">
        <v>40</v>
      </c>
      <c r="B47" s="141"/>
      <c r="C47" s="141"/>
      <c r="D47" s="141"/>
      <c r="E47" s="141"/>
      <c r="F47" s="21"/>
      <c r="G47" s="21"/>
      <c r="H47" s="21"/>
      <c r="I47" s="21"/>
      <c r="J47" s="21"/>
      <c r="K47" s="21"/>
      <c r="L47" s="21"/>
      <c r="M47" s="21"/>
    </row>
    <row r="48" spans="1:7" ht="24">
      <c r="A48" s="29" t="s">
        <v>41</v>
      </c>
      <c r="B48" s="23" t="s">
        <v>42</v>
      </c>
      <c r="C48" s="23" t="s">
        <v>43</v>
      </c>
      <c r="D48" s="23" t="s">
        <v>44</v>
      </c>
      <c r="E48" s="23" t="s">
        <v>34</v>
      </c>
      <c r="F48" t="s">
        <v>64</v>
      </c>
      <c r="G48">
        <f>F11+F19+F28</f>
        <v>19709.11</v>
      </c>
    </row>
    <row r="49" spans="1:5" ht="15">
      <c r="A49" s="29">
        <v>111</v>
      </c>
      <c r="B49" s="22" t="s">
        <v>13</v>
      </c>
      <c r="C49" s="22">
        <f>F9+F17+F26+F33</f>
        <v>15957</v>
      </c>
      <c r="D49" s="22">
        <f>K9+K17+K26+K33</f>
        <v>16221</v>
      </c>
      <c r="E49" s="22">
        <f aca="true" t="shared" si="0" ref="E49:E56">D49-C49</f>
        <v>264</v>
      </c>
    </row>
    <row r="50" spans="1:5" ht="15">
      <c r="A50" s="142" t="s">
        <v>39</v>
      </c>
      <c r="B50" s="142"/>
      <c r="C50" s="29">
        <f>SUM(C49:C49)</f>
        <v>15957</v>
      </c>
      <c r="D50" s="29">
        <f>SUM(D49:D49)</f>
        <v>16221</v>
      </c>
      <c r="E50" s="22">
        <f t="shared" si="0"/>
        <v>264</v>
      </c>
    </row>
    <row r="51" spans="1:7" ht="15">
      <c r="A51" s="29">
        <v>119</v>
      </c>
      <c r="B51" s="30">
        <v>0.22</v>
      </c>
      <c r="C51" s="22">
        <v>27310.98</v>
      </c>
      <c r="D51" s="22">
        <f>(H38-I22-I14)*22%</f>
        <v>27757.74606</v>
      </c>
      <c r="E51" s="22">
        <f t="shared" si="0"/>
        <v>446.76606000000174</v>
      </c>
      <c r="F51" s="31"/>
      <c r="G51" s="14"/>
    </row>
    <row r="52" spans="1:7" ht="15">
      <c r="A52" s="29">
        <v>119</v>
      </c>
      <c r="B52" s="30">
        <v>0.029</v>
      </c>
      <c r="C52" s="22">
        <v>3600.08</v>
      </c>
      <c r="D52" s="22">
        <f>(H38-I14-I22)*2.9%</f>
        <v>3658.975617</v>
      </c>
      <c r="E52" s="22">
        <f t="shared" si="0"/>
        <v>58.89561700000013</v>
      </c>
      <c r="F52" s="31"/>
      <c r="G52" s="14"/>
    </row>
    <row r="53" spans="1:7" ht="15">
      <c r="A53" s="29">
        <v>119</v>
      </c>
      <c r="B53" s="30">
        <v>0.051</v>
      </c>
      <c r="C53" s="22">
        <v>6331.17</v>
      </c>
      <c r="D53" s="22">
        <f>(H38-I22-I14)*5.1%</f>
        <v>6434.750223</v>
      </c>
      <c r="E53" s="22">
        <f t="shared" si="0"/>
        <v>103.58022299999993</v>
      </c>
      <c r="F53" s="31"/>
      <c r="G53" s="14"/>
    </row>
    <row r="54" spans="1:7" ht="15">
      <c r="A54" s="29">
        <v>119</v>
      </c>
      <c r="B54" s="30">
        <v>0.002</v>
      </c>
      <c r="C54" s="22">
        <v>248.28</v>
      </c>
      <c r="D54" s="22">
        <f>(H38-I14-I22)*0.2%</f>
        <v>252.34314600000002</v>
      </c>
      <c r="E54" s="22">
        <f t="shared" si="0"/>
        <v>4.0631460000000175</v>
      </c>
      <c r="F54" s="31"/>
      <c r="G54" s="14"/>
    </row>
    <row r="55" spans="1:7" ht="15">
      <c r="A55" s="143" t="s">
        <v>39</v>
      </c>
      <c r="B55" s="143"/>
      <c r="C55" s="32">
        <f>SUM(C51:C54)</f>
        <v>37490.509999999995</v>
      </c>
      <c r="D55" s="32">
        <f>SUM(D51:D54)</f>
        <v>38103.815046</v>
      </c>
      <c r="E55" s="22">
        <f t="shared" si="0"/>
        <v>613.3050460000086</v>
      </c>
      <c r="F55" s="33"/>
      <c r="G55" s="33"/>
    </row>
    <row r="56" spans="1:5" ht="15">
      <c r="A56" s="142" t="s">
        <v>45</v>
      </c>
      <c r="B56" s="142"/>
      <c r="C56" s="29">
        <f>C50+C55</f>
        <v>53447.509999999995</v>
      </c>
      <c r="D56" s="29">
        <f>D50+D55</f>
        <v>54324.815046</v>
      </c>
      <c r="E56" s="22">
        <f t="shared" si="0"/>
        <v>877.3050460000086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4"/>
    <mergeCell ref="G17:G25"/>
    <mergeCell ref="L17:L25"/>
    <mergeCell ref="M17:M25"/>
    <mergeCell ref="N17:N25"/>
    <mergeCell ref="N9:N16"/>
    <mergeCell ref="G26:G32"/>
    <mergeCell ref="L26:L32"/>
    <mergeCell ref="M26:M32"/>
    <mergeCell ref="N26:N32"/>
    <mergeCell ref="O17:O25"/>
    <mergeCell ref="A25:B25"/>
    <mergeCell ref="C25:D25"/>
    <mergeCell ref="E25:F25"/>
    <mergeCell ref="H25:I25"/>
    <mergeCell ref="J25:K25"/>
    <mergeCell ref="L33:L37"/>
    <mergeCell ref="M33:M37"/>
    <mergeCell ref="N33:N37"/>
    <mergeCell ref="O26:O32"/>
    <mergeCell ref="A32:B32"/>
    <mergeCell ref="C32:D32"/>
    <mergeCell ref="E32:F32"/>
    <mergeCell ref="H32:I32"/>
    <mergeCell ref="J32:K32"/>
    <mergeCell ref="A26:B31"/>
    <mergeCell ref="H38:I38"/>
    <mergeCell ref="J38:K38"/>
    <mergeCell ref="O33:O37"/>
    <mergeCell ref="A37:B37"/>
    <mergeCell ref="C37:D37"/>
    <mergeCell ref="E37:F37"/>
    <mergeCell ref="H37:I37"/>
    <mergeCell ref="J37:K37"/>
    <mergeCell ref="A33:B36"/>
    <mergeCell ref="G33:G37"/>
    <mergeCell ref="A47:E47"/>
    <mergeCell ref="A50:B50"/>
    <mergeCell ref="A55:B55"/>
    <mergeCell ref="A56:B56"/>
    <mergeCell ref="A38:B38"/>
    <mergeCell ref="C38:D38"/>
    <mergeCell ref="E38:F38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O2" sqref="O2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0.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65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66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67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-1593.979999999996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-1593.979999999996</v>
      </c>
      <c r="M9" s="145">
        <f>H16-C16</f>
        <v>0</v>
      </c>
      <c r="N9" s="145"/>
      <c r="O9" s="145"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10000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10000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9741.28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9741.28</v>
      </c>
      <c r="L11" s="145"/>
      <c r="M11" s="145"/>
      <c r="N11" s="145"/>
      <c r="O11" s="145"/>
      <c r="P11" s="14">
        <f>F10+G9-K10-N9</f>
        <v>-1593.979999999996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7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</f>
        <v>22453.28</v>
      </c>
      <c r="F16" s="145"/>
      <c r="G16" s="145"/>
      <c r="H16" s="145">
        <f>I9+I10+I11+I12+I13+I14+I15</f>
        <v>20859.300000000003</v>
      </c>
      <c r="I16" s="145"/>
      <c r="J16" s="145">
        <f>K9+K10+K11</f>
        <v>22453.28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68</v>
      </c>
      <c r="B17" s="147"/>
      <c r="C17" s="10" t="s">
        <v>21</v>
      </c>
      <c r="D17" s="11">
        <v>12000</v>
      </c>
      <c r="E17" s="11" t="s">
        <v>13</v>
      </c>
      <c r="F17" s="11">
        <v>11858</v>
      </c>
      <c r="G17" s="145">
        <f>C26-E26</f>
        <v>65759.6</v>
      </c>
      <c r="H17" s="10" t="s">
        <v>21</v>
      </c>
      <c r="I17" s="11">
        <v>12000</v>
      </c>
      <c r="J17" s="11" t="s">
        <v>13</v>
      </c>
      <c r="K17" s="17">
        <v>11856</v>
      </c>
      <c r="L17" s="145">
        <f>H26-J26</f>
        <v>65743.78</v>
      </c>
      <c r="M17" s="145">
        <f>H26-C26</f>
        <v>-17.820000000006985</v>
      </c>
      <c r="N17" s="145">
        <v>65759.6</v>
      </c>
      <c r="O17" s="145">
        <f>L17-N17</f>
        <v>-15.820000000006985</v>
      </c>
      <c r="P17" s="14">
        <f>(январь!H25+февраль!H25+март!H25+H26-5600)*13%-январь!K17-февраль!K17-март!K17</f>
        <v>11856.1708</v>
      </c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/>
      <c r="F19" s="11"/>
      <c r="G19" s="145"/>
      <c r="H19" s="18" t="s">
        <v>23</v>
      </c>
      <c r="I19" s="11">
        <f>I17*60.6%</f>
        <v>7272</v>
      </c>
      <c r="J19" s="11"/>
      <c r="K19" s="11"/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0</v>
      </c>
    </row>
    <row r="21" spans="1:16" ht="15">
      <c r="A21" s="147"/>
      <c r="B21" s="147"/>
      <c r="C21" s="18" t="s">
        <v>69</v>
      </c>
      <c r="D21" s="11">
        <v>52227.58</v>
      </c>
      <c r="E21" s="11"/>
      <c r="F21" s="11"/>
      <c r="G21" s="145"/>
      <c r="H21" s="18"/>
      <c r="I21" s="11">
        <v>52227.58</v>
      </c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f>(D17+D18+D19+D20)*65%</f>
        <v>15911.22</v>
      </c>
      <c r="E22" s="11"/>
      <c r="F22" s="11"/>
      <c r="G22" s="145"/>
      <c r="H22" s="18" t="s">
        <v>16</v>
      </c>
      <c r="I22" s="11">
        <f>(I17+I18+I19+I20)*65%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92617.6</v>
      </c>
      <c r="D26" s="145"/>
      <c r="E26" s="145">
        <f>F17+F18+F19</f>
        <v>26858</v>
      </c>
      <c r="F26" s="145"/>
      <c r="G26" s="145"/>
      <c r="H26" s="145">
        <f>SUM(I17:I25)</f>
        <v>92599.78</v>
      </c>
      <c r="I26" s="145"/>
      <c r="J26" s="145">
        <f>K17+K18+K19</f>
        <v>26856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70</v>
      </c>
      <c r="B27" s="147"/>
      <c r="C27" s="10" t="s">
        <v>21</v>
      </c>
      <c r="D27" s="11">
        <v>10000</v>
      </c>
      <c r="E27" s="11" t="s">
        <v>13</v>
      </c>
      <c r="F27" s="17">
        <v>2744</v>
      </c>
      <c r="G27" s="145">
        <f>C33-E33</f>
        <v>8362.8</v>
      </c>
      <c r="H27" s="10" t="s">
        <v>21</v>
      </c>
      <c r="I27" s="11">
        <v>10000</v>
      </c>
      <c r="J27" s="11" t="s">
        <v>13</v>
      </c>
      <c r="K27" s="11">
        <v>2744</v>
      </c>
      <c r="L27" s="145">
        <f>H33-J33</f>
        <v>8362.800000000003</v>
      </c>
      <c r="M27" s="145">
        <f>H33-C33</f>
        <v>0</v>
      </c>
      <c r="N27" s="145">
        <v>8362.8</v>
      </c>
      <c r="O27" s="145">
        <f>L27-N27</f>
        <v>0</v>
      </c>
      <c r="P27" s="14"/>
    </row>
    <row r="28" spans="1:16" ht="36">
      <c r="A28" s="147"/>
      <c r="B28" s="147"/>
      <c r="C28" s="18" t="s">
        <v>27</v>
      </c>
      <c r="D28" s="11">
        <v>2792</v>
      </c>
      <c r="E28" s="16" t="s">
        <v>14</v>
      </c>
      <c r="F28" s="11">
        <v>10000</v>
      </c>
      <c r="G28" s="145"/>
      <c r="H28" s="18" t="s">
        <v>27</v>
      </c>
      <c r="I28" s="11">
        <v>2792</v>
      </c>
      <c r="J28" s="16" t="s">
        <v>14</v>
      </c>
      <c r="K28" s="11">
        <v>10000</v>
      </c>
      <c r="L28" s="145"/>
      <c r="M28" s="145"/>
      <c r="N28" s="145"/>
      <c r="O28" s="145"/>
      <c r="P28" s="14"/>
    </row>
    <row r="29" spans="1:16" ht="15">
      <c r="A29" s="147"/>
      <c r="B29" s="147"/>
      <c r="C29" s="10"/>
      <c r="D29" s="11">
        <v>0</v>
      </c>
      <c r="E29" s="11"/>
      <c r="F29" s="11"/>
      <c r="G29" s="145"/>
      <c r="H29" s="18"/>
      <c r="I29" s="11">
        <v>0</v>
      </c>
      <c r="J29" s="11"/>
      <c r="K29" s="11"/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8314.8</v>
      </c>
      <c r="E30" s="11"/>
      <c r="F30" s="11"/>
      <c r="G30" s="145"/>
      <c r="H30" s="18" t="s">
        <v>16</v>
      </c>
      <c r="I30" s="11">
        <f>(I29+I27+I28)*65%</f>
        <v>8314.800000000001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21106.8</v>
      </c>
      <c r="D33" s="145"/>
      <c r="E33" s="145">
        <f>F27+F28+F29+F30</f>
        <v>12744</v>
      </c>
      <c r="F33" s="145"/>
      <c r="G33" s="145"/>
      <c r="H33" s="145">
        <f>I27+I28+I30+I31+I29</f>
        <v>21106.800000000003</v>
      </c>
      <c r="I33" s="145"/>
      <c r="J33" s="145">
        <f>K27+K28+K29+K30</f>
        <v>12744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71</v>
      </c>
      <c r="B34" s="147"/>
      <c r="C34" s="10" t="s">
        <v>21</v>
      </c>
      <c r="D34" s="11">
        <v>14545.5</v>
      </c>
      <c r="E34" s="11" t="s">
        <v>13</v>
      </c>
      <c r="F34" s="17">
        <v>4160</v>
      </c>
      <c r="G34" s="145">
        <f>C38-E38</f>
        <v>17840.063000000002</v>
      </c>
      <c r="H34" s="10" t="s">
        <v>21</v>
      </c>
      <c r="I34" s="11">
        <v>14545.5</v>
      </c>
      <c r="J34" s="11" t="s">
        <v>13</v>
      </c>
      <c r="K34" s="11">
        <v>4160</v>
      </c>
      <c r="L34" s="145">
        <f>H38-J38</f>
        <v>17840.063000000002</v>
      </c>
      <c r="M34" s="145">
        <f>H38-C38</f>
        <v>0</v>
      </c>
      <c r="N34" s="145">
        <v>17840.06</v>
      </c>
      <c r="O34" s="145">
        <f>L34-N34</f>
        <v>0.0030000000006111804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>
      <c r="A36" s="147"/>
      <c r="B36" s="147"/>
      <c r="C36" s="18" t="s">
        <v>72</v>
      </c>
      <c r="D36" s="11">
        <v>5999.99</v>
      </c>
      <c r="E36" s="16"/>
      <c r="F36" s="11"/>
      <c r="G36" s="145"/>
      <c r="H36" s="18" t="s">
        <v>72</v>
      </c>
      <c r="I36" s="11">
        <v>5999.99</v>
      </c>
      <c r="J36" s="16"/>
      <c r="K36" s="11"/>
      <c r="L36" s="145"/>
      <c r="M36" s="145"/>
      <c r="N36" s="145"/>
      <c r="O36" s="145"/>
      <c r="P36" s="14"/>
    </row>
    <row r="37" spans="1:16" ht="18" customHeight="1">
      <c r="A37" s="147"/>
      <c r="B37" s="147"/>
      <c r="C37" s="18" t="s">
        <v>16</v>
      </c>
      <c r="D37" s="11">
        <f>(D34+D35)*65%</f>
        <v>10242.453</v>
      </c>
      <c r="E37" s="11"/>
      <c r="F37" s="11"/>
      <c r="G37" s="145"/>
      <c r="H37" s="18" t="s">
        <v>16</v>
      </c>
      <c r="I37" s="11">
        <f>(I34+I35)*65%</f>
        <v>10242.453</v>
      </c>
      <c r="J37" s="17"/>
      <c r="K37" s="11"/>
      <c r="L37" s="145"/>
      <c r="M37" s="145"/>
      <c r="N37" s="145"/>
      <c r="O37" s="145"/>
      <c r="P37" s="14"/>
    </row>
    <row r="38" spans="1:16" ht="13.5" customHeight="1">
      <c r="A38" s="146" t="s">
        <v>19</v>
      </c>
      <c r="B38" s="146"/>
      <c r="C38" s="145">
        <f>D34+D35+D36+D37</f>
        <v>32000.063000000002</v>
      </c>
      <c r="D38" s="145"/>
      <c r="E38" s="145">
        <f>F34+F35</f>
        <v>14160</v>
      </c>
      <c r="F38" s="145"/>
      <c r="G38" s="145"/>
      <c r="H38" s="145">
        <f>I34+I35+I36+I37</f>
        <v>32000.063000000002</v>
      </c>
      <c r="I38" s="145"/>
      <c r="J38" s="145">
        <f>K34+K35</f>
        <v>14160</v>
      </c>
      <c r="K38" s="145"/>
      <c r="L38" s="145"/>
      <c r="M38" s="145"/>
      <c r="N38" s="145"/>
      <c r="O38" s="145"/>
      <c r="P38" s="14"/>
    </row>
    <row r="39" spans="1:16" ht="20.25" customHeight="1">
      <c r="A39" s="144" t="s">
        <v>54</v>
      </c>
      <c r="B39" s="144"/>
      <c r="C39" s="145">
        <f>C16+C26+C33+C38</f>
        <v>166583.763</v>
      </c>
      <c r="D39" s="145"/>
      <c r="E39" s="145">
        <f>E16+E26+E33+E38</f>
        <v>76215.28</v>
      </c>
      <c r="F39" s="145"/>
      <c r="G39" s="12">
        <f>SUM(G9:G38)</f>
        <v>90368.48300000001</v>
      </c>
      <c r="H39" s="145">
        <f>H16+H26+H33+H38</f>
        <v>166565.943</v>
      </c>
      <c r="I39" s="145"/>
      <c r="J39" s="145">
        <f>J16+J26+J33+J38</f>
        <v>76213.28</v>
      </c>
      <c r="K39" s="145"/>
      <c r="L39" s="12">
        <f>L9+L17+L27+L34</f>
        <v>90352.663</v>
      </c>
      <c r="M39" s="12">
        <f>SUM(M9:M38)</f>
        <v>-17.820000000006985</v>
      </c>
      <c r="N39" s="12">
        <f>SUM(N9:N38)</f>
        <v>91962.46</v>
      </c>
      <c r="O39" s="12">
        <f>SUM(O9:O38)</f>
        <v>-15.817000000006374</v>
      </c>
      <c r="P39" s="14"/>
    </row>
    <row r="40" spans="5:13" ht="21" customHeight="1">
      <c r="E40" s="20"/>
      <c r="F40" s="21"/>
      <c r="G40" s="21"/>
      <c r="H40" s="21"/>
      <c r="I40" s="21"/>
      <c r="J40" s="21"/>
      <c r="K40" s="21"/>
      <c r="L40" s="21"/>
      <c r="M40" s="21"/>
    </row>
    <row r="41" spans="1:13" ht="69.75" customHeight="1">
      <c r="A41" s="22"/>
      <c r="B41" s="23" t="s">
        <v>31</v>
      </c>
      <c r="C41" s="23" t="s">
        <v>32</v>
      </c>
      <c r="D41" s="24" t="s">
        <v>33</v>
      </c>
      <c r="E41" s="25" t="s">
        <v>34</v>
      </c>
      <c r="F41" s="21"/>
      <c r="G41" s="21"/>
      <c r="H41" s="21"/>
      <c r="I41" s="21"/>
      <c r="J41" s="21"/>
      <c r="K41" s="21"/>
      <c r="L41" s="21"/>
      <c r="M41" s="21"/>
    </row>
    <row r="42" spans="1:13" ht="16.5" customHeight="1">
      <c r="A42" s="22" t="s">
        <v>35</v>
      </c>
      <c r="B42" s="22">
        <f>C16-F9</f>
        <v>18147.300000000003</v>
      </c>
      <c r="C42" s="22">
        <f>K10+N9</f>
        <v>10000</v>
      </c>
      <c r="D42" s="25">
        <f>H16-K9</f>
        <v>18147.300000000003</v>
      </c>
      <c r="E42" s="26">
        <f>D42-C42</f>
        <v>8147.300000000003</v>
      </c>
      <c r="F42" s="21"/>
      <c r="G42" s="21"/>
      <c r="H42" s="21"/>
      <c r="I42" s="21"/>
      <c r="J42" s="21">
        <f>K10+K18+K28+K35+N39</f>
        <v>136962.46000000002</v>
      </c>
      <c r="K42" s="21"/>
      <c r="L42" s="21"/>
      <c r="M42" s="21"/>
    </row>
    <row r="43" spans="1:13" ht="15.75" customHeight="1">
      <c r="A43" s="22" t="s">
        <v>36</v>
      </c>
      <c r="B43" s="22">
        <f>C26-F17</f>
        <v>80759.6</v>
      </c>
      <c r="C43" s="22">
        <f>K18+N17</f>
        <v>80759.6</v>
      </c>
      <c r="D43" s="25">
        <f>H26-K17</f>
        <v>80743.78</v>
      </c>
      <c r="E43" s="26">
        <f>D43-C43</f>
        <v>-15.820000000006985</v>
      </c>
      <c r="F43" s="21"/>
      <c r="G43" s="21"/>
      <c r="H43" s="21"/>
      <c r="I43" s="21"/>
      <c r="J43" s="21"/>
      <c r="K43" s="21"/>
      <c r="L43" s="21"/>
      <c r="M43" s="21"/>
    </row>
    <row r="44" spans="1:13" ht="14.25" customHeight="1">
      <c r="A44" s="22" t="s">
        <v>37</v>
      </c>
      <c r="B44" s="22">
        <f>C33-F27</f>
        <v>18362.8</v>
      </c>
      <c r="C44" s="22">
        <f>K28+N27</f>
        <v>18362.8</v>
      </c>
      <c r="D44" s="25">
        <f>H33-K27</f>
        <v>18362.800000000003</v>
      </c>
      <c r="E44" s="26">
        <f>D44-C44</f>
        <v>0</v>
      </c>
      <c r="F44" s="21"/>
      <c r="G44" s="21"/>
      <c r="H44" s="21"/>
      <c r="I44" s="21"/>
      <c r="J44" s="21"/>
      <c r="K44" s="21"/>
      <c r="L44" s="21"/>
      <c r="M44" s="21"/>
    </row>
    <row r="45" spans="1:13" ht="15.75" customHeight="1">
      <c r="A45" s="22" t="s">
        <v>38</v>
      </c>
      <c r="B45" s="22">
        <f>C38-F34</f>
        <v>27840.063000000002</v>
      </c>
      <c r="C45" s="22">
        <f>K35+N34</f>
        <v>27840.06</v>
      </c>
      <c r="D45" s="25">
        <f>H38-K34</f>
        <v>27840.063000000002</v>
      </c>
      <c r="E45" s="26">
        <f>D45-C45</f>
        <v>0.0030000000006111804</v>
      </c>
      <c r="F45" s="21"/>
      <c r="G45" s="21"/>
      <c r="H45" s="21"/>
      <c r="I45" s="21"/>
      <c r="J45" s="21"/>
      <c r="K45" s="21"/>
      <c r="L45" s="21"/>
      <c r="M45" s="21"/>
    </row>
    <row r="46" spans="1:13" ht="15.75" customHeight="1">
      <c r="A46" s="22" t="s">
        <v>39</v>
      </c>
      <c r="B46" s="22">
        <f>B42+B43+B44+B45</f>
        <v>145109.763</v>
      </c>
      <c r="C46" s="22">
        <f>C42+C43+C44+C45</f>
        <v>136962.46000000002</v>
      </c>
      <c r="D46" s="25">
        <f>SUM(D42:D45)</f>
        <v>145093.943</v>
      </c>
      <c r="E46" s="26">
        <f>D46-C46</f>
        <v>8131.482999999978</v>
      </c>
      <c r="F46" s="27"/>
      <c r="G46" s="21"/>
      <c r="H46" s="21"/>
      <c r="I46" s="21"/>
      <c r="J46" s="21"/>
      <c r="K46" s="21"/>
      <c r="L46" s="21"/>
      <c r="M46" s="21"/>
    </row>
    <row r="47" spans="1:13" ht="15.75" customHeight="1">
      <c r="A47" s="28"/>
      <c r="B47" s="28"/>
      <c r="C47" s="28"/>
      <c r="D47" s="28"/>
      <c r="E47" s="25"/>
      <c r="F47" s="21"/>
      <c r="G47" s="21"/>
      <c r="H47" s="21"/>
      <c r="I47" s="21"/>
      <c r="J47" s="21"/>
      <c r="K47" s="21"/>
      <c r="L47" s="21"/>
      <c r="M47" s="21"/>
    </row>
    <row r="48" spans="1:13" ht="19.5" customHeight="1">
      <c r="A48" s="141" t="s">
        <v>40</v>
      </c>
      <c r="B48" s="141"/>
      <c r="C48" s="141"/>
      <c r="D48" s="141"/>
      <c r="E48" s="141"/>
      <c r="F48" s="21"/>
      <c r="G48" s="21"/>
      <c r="H48" s="21"/>
      <c r="I48" s="21"/>
      <c r="J48" s="21"/>
      <c r="K48" s="21"/>
      <c r="L48" s="21"/>
      <c r="M48" s="21"/>
    </row>
    <row r="49" spans="1:5" ht="24">
      <c r="A49" s="29" t="s">
        <v>41</v>
      </c>
      <c r="B49" s="23" t="s">
        <v>42</v>
      </c>
      <c r="C49" s="23" t="s">
        <v>43</v>
      </c>
      <c r="D49" s="23" t="s">
        <v>44</v>
      </c>
      <c r="E49" s="23" t="s">
        <v>34</v>
      </c>
    </row>
    <row r="50" spans="1:5" ht="15">
      <c r="A50" s="29">
        <v>111</v>
      </c>
      <c r="B50" s="22" t="s">
        <v>13</v>
      </c>
      <c r="C50" s="22">
        <f>F9+F17+F27+F34</f>
        <v>21474</v>
      </c>
      <c r="D50" s="22">
        <f>K9+K17+K27+K34</f>
        <v>21472</v>
      </c>
      <c r="E50" s="22">
        <f aca="true" t="shared" si="0" ref="E50:E57">D50-C50</f>
        <v>-2</v>
      </c>
    </row>
    <row r="51" spans="1:5" ht="15">
      <c r="A51" s="142" t="s">
        <v>39</v>
      </c>
      <c r="B51" s="142"/>
      <c r="C51" s="29">
        <f>SUM(C50:C50)</f>
        <v>21474</v>
      </c>
      <c r="D51" s="29">
        <f>SUM(D50:D50)</f>
        <v>21472</v>
      </c>
      <c r="E51" s="22">
        <f t="shared" si="0"/>
        <v>-2</v>
      </c>
    </row>
    <row r="52" spans="1:7" ht="15">
      <c r="A52" s="29">
        <v>119</v>
      </c>
      <c r="B52" s="30">
        <v>0.22</v>
      </c>
      <c r="C52" s="22">
        <v>36648.43</v>
      </c>
      <c r="D52" s="22">
        <f>(H39-I23-I14)*22%</f>
        <v>36644.50746</v>
      </c>
      <c r="E52" s="22">
        <f t="shared" si="0"/>
        <v>-3.9225399999995716</v>
      </c>
      <c r="F52" s="31"/>
      <c r="G52" s="14"/>
    </row>
    <row r="53" spans="1:7" ht="15">
      <c r="A53" s="29">
        <v>119</v>
      </c>
      <c r="B53" s="30">
        <v>0.029</v>
      </c>
      <c r="C53" s="22">
        <v>4830.93</v>
      </c>
      <c r="D53" s="22">
        <f>(H39-I14-I23)*2.9%</f>
        <v>4830.4123469999995</v>
      </c>
      <c r="E53" s="22">
        <f t="shared" si="0"/>
        <v>-0.5176530000007915</v>
      </c>
      <c r="F53" s="31"/>
      <c r="G53" s="14"/>
    </row>
    <row r="54" spans="1:7" ht="15">
      <c r="A54" s="29">
        <v>119</v>
      </c>
      <c r="B54" s="30">
        <v>0.051</v>
      </c>
      <c r="C54" s="22">
        <v>8495.77</v>
      </c>
      <c r="D54" s="22">
        <f>(H39-I23-I14)*5.1%</f>
        <v>8494.863093</v>
      </c>
      <c r="E54" s="22">
        <f t="shared" si="0"/>
        <v>-0.9069070000005013</v>
      </c>
      <c r="F54" s="31"/>
      <c r="G54" s="14"/>
    </row>
    <row r="55" spans="1:7" ht="15">
      <c r="A55" s="29">
        <v>119</v>
      </c>
      <c r="B55" s="30">
        <v>0.002</v>
      </c>
      <c r="C55" s="22">
        <v>333.17</v>
      </c>
      <c r="D55" s="22">
        <f>(H39-I14-I23)*0.2%</f>
        <v>333.131886</v>
      </c>
      <c r="E55" s="22">
        <f t="shared" si="0"/>
        <v>-0.03811400000000731</v>
      </c>
      <c r="F55" s="31"/>
      <c r="G55" s="14"/>
    </row>
    <row r="56" spans="1:7" ht="15">
      <c r="A56" s="143" t="s">
        <v>39</v>
      </c>
      <c r="B56" s="143"/>
      <c r="C56" s="32">
        <f>SUM(C52:C55)</f>
        <v>50308.3</v>
      </c>
      <c r="D56" s="32">
        <f>SUM(D52:D55)</f>
        <v>50302.914786</v>
      </c>
      <c r="E56" s="22">
        <f t="shared" si="0"/>
        <v>-5.385214000001724</v>
      </c>
      <c r="F56" s="33"/>
      <c r="G56" s="33"/>
    </row>
    <row r="57" spans="1:5" ht="15">
      <c r="A57" s="142" t="s">
        <v>45</v>
      </c>
      <c r="B57" s="142"/>
      <c r="C57" s="29">
        <f>C51+C56</f>
        <v>71782.3</v>
      </c>
      <c r="D57" s="29">
        <f>D51+D56</f>
        <v>71774.91478600001</v>
      </c>
      <c r="E57" s="22">
        <f t="shared" si="0"/>
        <v>-7.385213999994448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5"/>
    <mergeCell ref="G17:G26"/>
    <mergeCell ref="L17:L26"/>
    <mergeCell ref="M17:M26"/>
    <mergeCell ref="N17:N26"/>
    <mergeCell ref="N9:N16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J26:K26"/>
    <mergeCell ref="L34:L38"/>
    <mergeCell ref="M34:M38"/>
    <mergeCell ref="N34:N38"/>
    <mergeCell ref="O27:O33"/>
    <mergeCell ref="A33:B33"/>
    <mergeCell ref="C33:D33"/>
    <mergeCell ref="E33:F33"/>
    <mergeCell ref="H33:I33"/>
    <mergeCell ref="J33:K33"/>
    <mergeCell ref="A27:B32"/>
    <mergeCell ref="H39:I39"/>
    <mergeCell ref="J39:K39"/>
    <mergeCell ref="O34:O38"/>
    <mergeCell ref="A38:B38"/>
    <mergeCell ref="C38:D38"/>
    <mergeCell ref="E38:F38"/>
    <mergeCell ref="H38:I38"/>
    <mergeCell ref="J38:K38"/>
    <mergeCell ref="A34:B37"/>
    <mergeCell ref="G34:G38"/>
    <mergeCell ref="A48:E48"/>
    <mergeCell ref="A51:B51"/>
    <mergeCell ref="A56:B56"/>
    <mergeCell ref="A57:B57"/>
    <mergeCell ref="A39:B39"/>
    <mergeCell ref="C39:D39"/>
    <mergeCell ref="E39:F39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6" width="9.7109375" style="0" customWidth="1"/>
    <col min="7" max="7" width="10.0039062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73</v>
      </c>
    </row>
    <row r="2" spans="1:15" ht="8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8.2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74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75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1553.3200000000033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1553.3200000000033</v>
      </c>
      <c r="M9" s="145">
        <f>H16-C16</f>
        <v>0</v>
      </c>
      <c r="N9" s="145">
        <v>1553.32</v>
      </c>
      <c r="O9" s="145">
        <f>L9-N9</f>
        <v>3.410605131648481E-12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10000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10000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3.410605131648481E-12</v>
      </c>
    </row>
    <row r="12" spans="1:16" ht="36">
      <c r="A12" s="147"/>
      <c r="B12" s="147"/>
      <c r="C12" s="18" t="s">
        <v>15</v>
      </c>
      <c r="D12" s="11">
        <v>7056</v>
      </c>
      <c r="E12" s="11" t="s">
        <v>76</v>
      </c>
      <c r="F12" s="11">
        <v>1593.98</v>
      </c>
      <c r="G12" s="145"/>
      <c r="H12" s="18" t="s">
        <v>15</v>
      </c>
      <c r="I12" s="11">
        <v>7056</v>
      </c>
      <c r="J12" s="11" t="s">
        <v>76</v>
      </c>
      <c r="K12" s="11">
        <v>1593.98</v>
      </c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19305.98</v>
      </c>
      <c r="F16" s="145"/>
      <c r="G16" s="145"/>
      <c r="H16" s="145">
        <f>I9+I10+I11+I12+I13+I14+I15</f>
        <v>20859.300000000003</v>
      </c>
      <c r="I16" s="145"/>
      <c r="J16" s="145">
        <f>K9+K10+K11+K12</f>
        <v>19305.98</v>
      </c>
      <c r="K16" s="145"/>
      <c r="L16" s="145"/>
      <c r="M16" s="145"/>
      <c r="N16" s="145"/>
      <c r="O16" s="145"/>
      <c r="P16" s="14"/>
    </row>
    <row r="17" spans="1:17" ht="13.5" customHeight="1">
      <c r="A17" s="147" t="s">
        <v>77</v>
      </c>
      <c r="B17" s="147"/>
      <c r="C17" s="10" t="s">
        <v>21</v>
      </c>
      <c r="D17" s="11">
        <v>14526</v>
      </c>
      <c r="E17" s="11" t="s">
        <v>13</v>
      </c>
      <c r="F17" s="11">
        <v>7887</v>
      </c>
      <c r="G17" s="145">
        <f>C26-E26</f>
        <v>27883.559999999998</v>
      </c>
      <c r="H17" s="10" t="s">
        <v>21</v>
      </c>
      <c r="I17" s="11">
        <v>13894.74</v>
      </c>
      <c r="J17" s="11" t="s">
        <v>13</v>
      </c>
      <c r="K17" s="17">
        <v>7611</v>
      </c>
      <c r="L17" s="145">
        <f>H26-J26</f>
        <v>26035.76851899999</v>
      </c>
      <c r="M17" s="145">
        <f>H26-C26</f>
        <v>-2123.7914810000075</v>
      </c>
      <c r="N17" s="145">
        <v>27883.56</v>
      </c>
      <c r="O17" s="145">
        <f>L17-N17</f>
        <v>-1847.7914810000111</v>
      </c>
      <c r="P17" s="14"/>
      <c r="Q17">
        <f>(январь!H25+февраль!H25+март!H25+апрель!H26+H26-7000)*13%-январь!K17-февраль!K17-март!K17-апрель!K17</f>
        <v>7611.250707470001</v>
      </c>
    </row>
    <row r="18" spans="1:16" ht="36">
      <c r="A18" s="147"/>
      <c r="B18" s="147"/>
      <c r="C18" s="15" t="s">
        <v>22</v>
      </c>
      <c r="D18" s="11">
        <f>D17*30%</f>
        <v>4357.8</v>
      </c>
      <c r="E18" s="16" t="s">
        <v>14</v>
      </c>
      <c r="F18" s="11">
        <v>15000</v>
      </c>
      <c r="G18" s="145"/>
      <c r="H18" s="15" t="s">
        <v>22</v>
      </c>
      <c r="I18" s="11">
        <f>I17*30%</f>
        <v>4168.422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8802.76</v>
      </c>
      <c r="E19" s="11" t="s">
        <v>58</v>
      </c>
      <c r="F19" s="11">
        <v>11300</v>
      </c>
      <c r="G19" s="145"/>
      <c r="H19" s="18" t="s">
        <v>23</v>
      </c>
      <c r="I19" s="11">
        <f>I17*60.6%</f>
        <v>8420.21244</v>
      </c>
      <c r="J19" s="11" t="s">
        <v>58</v>
      </c>
      <c r="K19" s="11">
        <v>11300</v>
      </c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1931.96</v>
      </c>
      <c r="E20" s="11"/>
      <c r="F20" s="11"/>
      <c r="G20" s="145"/>
      <c r="H20" s="18" t="s">
        <v>24</v>
      </c>
      <c r="I20" s="11">
        <f>I17*13.3%</f>
        <v>1848.00042</v>
      </c>
      <c r="J20" s="17"/>
      <c r="K20" s="11"/>
      <c r="L20" s="145"/>
      <c r="M20" s="145"/>
      <c r="N20" s="145"/>
      <c r="O20" s="145"/>
      <c r="P20" s="14">
        <f>F18+G17-K18-N17</f>
        <v>0</v>
      </c>
    </row>
    <row r="21" spans="1:16" ht="15">
      <c r="A21" s="147"/>
      <c r="B21" s="147"/>
      <c r="C21" s="18" t="s">
        <v>78</v>
      </c>
      <c r="D21" s="11">
        <v>8000</v>
      </c>
      <c r="E21" s="11"/>
      <c r="F21" s="11"/>
      <c r="G21" s="145"/>
      <c r="H21" s="18" t="s">
        <v>78</v>
      </c>
      <c r="I21" s="11">
        <v>8000</v>
      </c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24452.04</v>
      </c>
      <c r="E22" s="11"/>
      <c r="F22" s="11"/>
      <c r="G22" s="145"/>
      <c r="H22" s="18" t="s">
        <v>16</v>
      </c>
      <c r="I22" s="11">
        <f>(I17+I18+I19+I20+I21)*65%</f>
        <v>23615.393658999998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62070.56</v>
      </c>
      <c r="D26" s="145"/>
      <c r="E26" s="145">
        <f>F17+F18+F19</f>
        <v>34187</v>
      </c>
      <c r="F26" s="145"/>
      <c r="G26" s="145"/>
      <c r="H26" s="145">
        <f>SUM(I17:I25)</f>
        <v>59946.76851899999</v>
      </c>
      <c r="I26" s="145"/>
      <c r="J26" s="145">
        <f>K17+K18+K19</f>
        <v>33911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79</v>
      </c>
      <c r="B27" s="147"/>
      <c r="C27" s="10" t="s">
        <v>21</v>
      </c>
      <c r="D27" s="11">
        <v>10000</v>
      </c>
      <c r="E27" s="11" t="s">
        <v>13</v>
      </c>
      <c r="F27" s="17">
        <v>3968</v>
      </c>
      <c r="G27" s="145">
        <f>C33-E33</f>
        <v>4586.4000000000015</v>
      </c>
      <c r="H27" s="10" t="s">
        <v>21</v>
      </c>
      <c r="I27" s="11">
        <v>10000</v>
      </c>
      <c r="J27" s="11" t="s">
        <v>13</v>
      </c>
      <c r="K27" s="11">
        <v>3968</v>
      </c>
      <c r="L27" s="145">
        <f>H33-J33</f>
        <v>4586.4000000000015</v>
      </c>
      <c r="M27" s="145">
        <f>H33-C33</f>
        <v>0</v>
      </c>
      <c r="N27" s="145">
        <v>4586.4</v>
      </c>
      <c r="O27" s="145">
        <f>L27-N27</f>
        <v>0</v>
      </c>
      <c r="P27" s="14"/>
    </row>
    <row r="28" spans="1:16" ht="36">
      <c r="A28" s="147"/>
      <c r="B28" s="147"/>
      <c r="C28" s="18" t="s">
        <v>27</v>
      </c>
      <c r="D28" s="11">
        <v>0</v>
      </c>
      <c r="E28" s="16" t="s">
        <v>14</v>
      </c>
      <c r="F28" s="11">
        <v>10000</v>
      </c>
      <c r="G28" s="145"/>
      <c r="H28" s="18" t="s">
        <v>27</v>
      </c>
      <c r="I28" s="11">
        <v>0</v>
      </c>
      <c r="J28" s="16" t="s">
        <v>14</v>
      </c>
      <c r="K28" s="11">
        <v>10000</v>
      </c>
      <c r="L28" s="145"/>
      <c r="M28" s="145"/>
      <c r="N28" s="145"/>
      <c r="O28" s="145"/>
      <c r="P28" s="14"/>
    </row>
    <row r="29" spans="1:16" ht="15">
      <c r="A29" s="147"/>
      <c r="B29" s="147"/>
      <c r="C29" s="10" t="s">
        <v>80</v>
      </c>
      <c r="D29" s="11">
        <v>8500</v>
      </c>
      <c r="E29" s="11" t="s">
        <v>58</v>
      </c>
      <c r="F29" s="11">
        <v>11970.6</v>
      </c>
      <c r="G29" s="145"/>
      <c r="H29" s="10" t="s">
        <v>80</v>
      </c>
      <c r="I29" s="11">
        <v>8500</v>
      </c>
      <c r="J29" s="11" t="s">
        <v>58</v>
      </c>
      <c r="K29" s="11">
        <v>11970.6</v>
      </c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12025</v>
      </c>
      <c r="E30" s="11"/>
      <c r="F30" s="11"/>
      <c r="G30" s="145"/>
      <c r="H30" s="18" t="s">
        <v>16</v>
      </c>
      <c r="I30" s="11">
        <f>(I29+I27+I28)*65%</f>
        <v>12025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30525</v>
      </c>
      <c r="D33" s="145"/>
      <c r="E33" s="145">
        <f>F27+F28+F29+F30</f>
        <v>25938.6</v>
      </c>
      <c r="F33" s="145"/>
      <c r="G33" s="145"/>
      <c r="H33" s="145">
        <f>I27+I28+I30+I31+I29</f>
        <v>30525</v>
      </c>
      <c r="I33" s="145"/>
      <c r="J33" s="145">
        <f>K27+K28+K29+K30</f>
        <v>25938.6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81</v>
      </c>
      <c r="B34" s="147"/>
      <c r="C34" s="10" t="s">
        <v>21</v>
      </c>
      <c r="D34" s="11">
        <v>14545.5</v>
      </c>
      <c r="E34" s="11" t="s">
        <v>13</v>
      </c>
      <c r="F34" s="17">
        <v>5203</v>
      </c>
      <c r="G34" s="145">
        <f>C38-E38</f>
        <v>24822.072999999997</v>
      </c>
      <c r="H34" s="10" t="s">
        <v>21</v>
      </c>
      <c r="I34" s="11">
        <v>14545.5</v>
      </c>
      <c r="J34" s="11" t="s">
        <v>13</v>
      </c>
      <c r="K34" s="11">
        <v>5203</v>
      </c>
      <c r="L34" s="145">
        <f>H38-J38</f>
        <v>24822.072999999997</v>
      </c>
      <c r="M34" s="145">
        <f>H38-C38</f>
        <v>0</v>
      </c>
      <c r="N34" s="145">
        <f>12620.07+12202</f>
        <v>24822.07</v>
      </c>
      <c r="O34" s="145">
        <f>L34-N34</f>
        <v>0.0029999999969732016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>
      <c r="A36" s="147"/>
      <c r="B36" s="147"/>
      <c r="C36" s="10" t="s">
        <v>80</v>
      </c>
      <c r="D36" s="11">
        <v>8500</v>
      </c>
      <c r="E36" s="16"/>
      <c r="F36" s="11"/>
      <c r="G36" s="145"/>
      <c r="H36" s="10" t="s">
        <v>80</v>
      </c>
      <c r="I36" s="11">
        <v>8500</v>
      </c>
      <c r="J36" s="16"/>
      <c r="K36" s="11"/>
      <c r="L36" s="145"/>
      <c r="M36" s="145"/>
      <c r="N36" s="145"/>
      <c r="O36" s="145"/>
      <c r="P36" s="14"/>
    </row>
    <row r="37" spans="1:16" ht="18" customHeight="1">
      <c r="A37" s="147"/>
      <c r="B37" s="147"/>
      <c r="C37" s="18" t="s">
        <v>16</v>
      </c>
      <c r="D37" s="11">
        <f>(D34+D35+D36)*65%</f>
        <v>15767.453</v>
      </c>
      <c r="E37" s="11"/>
      <c r="F37" s="11"/>
      <c r="G37" s="145"/>
      <c r="H37" s="18" t="s">
        <v>16</v>
      </c>
      <c r="I37" s="11">
        <f>(I34+I35+I36)*65%</f>
        <v>15767.453</v>
      </c>
      <c r="J37" s="17"/>
      <c r="K37" s="11"/>
      <c r="L37" s="145"/>
      <c r="M37" s="145"/>
      <c r="N37" s="145"/>
      <c r="O37" s="145"/>
      <c r="P37" s="14"/>
    </row>
    <row r="38" spans="1:16" ht="13.5" customHeight="1">
      <c r="A38" s="146" t="s">
        <v>19</v>
      </c>
      <c r="B38" s="146"/>
      <c r="C38" s="145">
        <f>D34+D35+D36+D37</f>
        <v>40025.073</v>
      </c>
      <c r="D38" s="145"/>
      <c r="E38" s="145">
        <f>F34+F35</f>
        <v>15203</v>
      </c>
      <c r="F38" s="145"/>
      <c r="G38" s="145"/>
      <c r="H38" s="145">
        <f>I34+I35+I36+I37</f>
        <v>40025.073</v>
      </c>
      <c r="I38" s="145"/>
      <c r="J38" s="145">
        <f>K34+K35</f>
        <v>15203</v>
      </c>
      <c r="K38" s="145"/>
      <c r="L38" s="145"/>
      <c r="M38" s="145"/>
      <c r="N38" s="145"/>
      <c r="O38" s="145"/>
      <c r="P38" s="14"/>
    </row>
    <row r="39" spans="1:16" ht="20.25" customHeight="1">
      <c r="A39" s="144" t="s">
        <v>54</v>
      </c>
      <c r="B39" s="144"/>
      <c r="C39" s="145">
        <f>C16+C26+C33+C38</f>
        <v>153479.933</v>
      </c>
      <c r="D39" s="145"/>
      <c r="E39" s="145">
        <f>E16+E26+E33+E38</f>
        <v>94634.57999999999</v>
      </c>
      <c r="F39" s="145"/>
      <c r="G39" s="12">
        <f>SUM(G9:G38)</f>
        <v>58845.352999999996</v>
      </c>
      <c r="H39" s="145">
        <f>H16+H26+H33+H38</f>
        <v>151356.141519</v>
      </c>
      <c r="I39" s="145"/>
      <c r="J39" s="145">
        <f>J16+J26+J33+J38</f>
        <v>94358.57999999999</v>
      </c>
      <c r="K39" s="145"/>
      <c r="L39" s="12">
        <f>L9+L17+L27+L34</f>
        <v>56997.561518999995</v>
      </c>
      <c r="M39" s="12">
        <f>SUM(M9:M38)</f>
        <v>-2123.7914810000075</v>
      </c>
      <c r="N39" s="12">
        <f>SUM(N9:N38)</f>
        <v>58845.35</v>
      </c>
      <c r="O39" s="12">
        <f>SUM(O9:O38)</f>
        <v>-1847.7884810000107</v>
      </c>
      <c r="P39" s="14"/>
    </row>
    <row r="40" spans="5:13" ht="21" customHeight="1">
      <c r="E40" s="20"/>
      <c r="F40" s="21"/>
      <c r="G40" s="21"/>
      <c r="H40" s="21"/>
      <c r="I40" s="21"/>
      <c r="J40" s="21"/>
      <c r="K40" s="21"/>
      <c r="L40" s="21"/>
      <c r="M40" s="21"/>
    </row>
    <row r="41" spans="1:13" ht="69.75" customHeight="1">
      <c r="A41" s="22"/>
      <c r="B41" s="23" t="s">
        <v>31</v>
      </c>
      <c r="C41" s="23" t="s">
        <v>32</v>
      </c>
      <c r="D41" s="24" t="s">
        <v>33</v>
      </c>
      <c r="E41" s="25" t="s">
        <v>34</v>
      </c>
      <c r="F41" s="21"/>
      <c r="G41" s="21"/>
      <c r="H41" s="21"/>
      <c r="I41" s="21"/>
      <c r="J41" s="21"/>
      <c r="K41" s="21"/>
      <c r="L41" s="21"/>
      <c r="M41" s="21"/>
    </row>
    <row r="42" spans="1:13" ht="16.5" customHeight="1">
      <c r="A42" s="22" t="s">
        <v>35</v>
      </c>
      <c r="B42" s="22">
        <f>C16-F9</f>
        <v>18147.300000000003</v>
      </c>
      <c r="C42" s="22">
        <f>K10+N9</f>
        <v>11553.32</v>
      </c>
      <c r="D42" s="25">
        <f>H16-K9</f>
        <v>18147.300000000003</v>
      </c>
      <c r="E42" s="26">
        <f>D42-C42</f>
        <v>6593.980000000003</v>
      </c>
      <c r="F42" s="21"/>
      <c r="G42" s="21"/>
      <c r="H42" s="21"/>
      <c r="I42" s="21"/>
      <c r="J42" s="21">
        <f>K10+K18+K28+K35+N39</f>
        <v>103845.35</v>
      </c>
      <c r="K42" s="21"/>
      <c r="L42" s="21"/>
      <c r="M42" s="21"/>
    </row>
    <row r="43" spans="1:13" ht="15.75" customHeight="1">
      <c r="A43" s="22" t="s">
        <v>36</v>
      </c>
      <c r="B43" s="22">
        <f>C26-F17</f>
        <v>54183.56</v>
      </c>
      <c r="C43" s="22">
        <f>K18+N17</f>
        <v>42883.56</v>
      </c>
      <c r="D43" s="25">
        <f>H26-K17</f>
        <v>52335.76851899999</v>
      </c>
      <c r="E43" s="26">
        <f>D43-C43</f>
        <v>9452.208518999993</v>
      </c>
      <c r="F43" s="21"/>
      <c r="G43" s="21"/>
      <c r="H43" s="21"/>
      <c r="I43" s="21"/>
      <c r="J43" s="21"/>
      <c r="K43" s="21"/>
      <c r="L43" s="21"/>
      <c r="M43" s="21"/>
    </row>
    <row r="44" spans="1:13" ht="14.25" customHeight="1">
      <c r="A44" s="22" t="s">
        <v>37</v>
      </c>
      <c r="B44" s="22">
        <f>C33-F27</f>
        <v>26557</v>
      </c>
      <c r="C44" s="22">
        <f>K28+N27</f>
        <v>14586.4</v>
      </c>
      <c r="D44" s="25">
        <f>H33-K27</f>
        <v>26557</v>
      </c>
      <c r="E44" s="26">
        <f>D44-C44</f>
        <v>11970.6</v>
      </c>
      <c r="F44" s="21"/>
      <c r="G44" s="21"/>
      <c r="H44" s="21"/>
      <c r="I44" s="21"/>
      <c r="J44" s="21"/>
      <c r="K44" s="21"/>
      <c r="L44" s="21"/>
      <c r="M44" s="21"/>
    </row>
    <row r="45" spans="1:13" ht="15.75" customHeight="1">
      <c r="A45" s="22" t="s">
        <v>38</v>
      </c>
      <c r="B45" s="22">
        <f>C38-F34</f>
        <v>34822.073</v>
      </c>
      <c r="C45" s="22">
        <f>K35+N34</f>
        <v>34822.07</v>
      </c>
      <c r="D45" s="25">
        <f>H38-K34</f>
        <v>34822.073</v>
      </c>
      <c r="E45" s="26">
        <f>D45-C45</f>
        <v>0.0029999999969732016</v>
      </c>
      <c r="F45" s="21"/>
      <c r="G45" s="21"/>
      <c r="H45" s="21"/>
      <c r="I45" s="21"/>
      <c r="J45" s="21"/>
      <c r="K45" s="21"/>
      <c r="L45" s="21"/>
      <c r="M45" s="21"/>
    </row>
    <row r="46" spans="1:13" ht="15.75" customHeight="1">
      <c r="A46" s="22" t="s">
        <v>39</v>
      </c>
      <c r="B46" s="22">
        <f>B42+B43+B44+B45</f>
        <v>133709.933</v>
      </c>
      <c r="C46" s="22">
        <f>C42+C43+C44+C45</f>
        <v>103845.35</v>
      </c>
      <c r="D46" s="25">
        <f>SUM(D42:D45)</f>
        <v>131862.141519</v>
      </c>
      <c r="E46" s="26">
        <f>D46-C46</f>
        <v>28016.79151899999</v>
      </c>
      <c r="F46" s="27"/>
      <c r="G46" s="21"/>
      <c r="H46" s="21"/>
      <c r="I46" s="21"/>
      <c r="J46" s="21"/>
      <c r="K46" s="21"/>
      <c r="L46" s="21"/>
      <c r="M46" s="21"/>
    </row>
    <row r="47" spans="1:13" ht="15.75" customHeight="1">
      <c r="A47" s="28"/>
      <c r="B47" s="28"/>
      <c r="C47" s="28"/>
      <c r="D47" s="28"/>
      <c r="E47" s="25"/>
      <c r="F47" s="21"/>
      <c r="G47" s="21"/>
      <c r="H47" s="21"/>
      <c r="I47" s="21"/>
      <c r="J47" s="21"/>
      <c r="K47" s="21"/>
      <c r="L47" s="21"/>
      <c r="M47" s="21"/>
    </row>
    <row r="48" spans="1:13" ht="19.5" customHeight="1">
      <c r="A48" s="141" t="s">
        <v>40</v>
      </c>
      <c r="B48" s="141"/>
      <c r="C48" s="141"/>
      <c r="D48" s="141"/>
      <c r="E48" s="141"/>
      <c r="F48" s="21"/>
      <c r="G48" s="21"/>
      <c r="H48" s="21"/>
      <c r="I48" s="21"/>
      <c r="J48" s="21"/>
      <c r="K48" s="21"/>
      <c r="L48" s="21"/>
      <c r="M48" s="21"/>
    </row>
    <row r="49" spans="1:5" ht="24">
      <c r="A49" s="29" t="s">
        <v>41</v>
      </c>
      <c r="B49" s="23" t="s">
        <v>42</v>
      </c>
      <c r="C49" s="23" t="s">
        <v>43</v>
      </c>
      <c r="D49" s="23" t="s">
        <v>44</v>
      </c>
      <c r="E49" s="23" t="s">
        <v>34</v>
      </c>
    </row>
    <row r="50" spans="1:7" ht="15">
      <c r="A50" s="29">
        <v>111</v>
      </c>
      <c r="B50" s="22" t="s">
        <v>13</v>
      </c>
      <c r="C50" s="22">
        <f>F9+F17+F27+F34</f>
        <v>19770</v>
      </c>
      <c r="D50" s="22">
        <f>K9+K17+K27+K34</f>
        <v>19494</v>
      </c>
      <c r="E50" s="22">
        <f aca="true" t="shared" si="0" ref="E50:E57">D50-C50</f>
        <v>-276</v>
      </c>
      <c r="F50" t="s">
        <v>82</v>
      </c>
      <c r="G50">
        <f>F11+F19+F29</f>
        <v>28270.6</v>
      </c>
    </row>
    <row r="51" spans="1:5" ht="15">
      <c r="A51" s="142" t="s">
        <v>39</v>
      </c>
      <c r="B51" s="142"/>
      <c r="C51" s="29">
        <f>SUM(C50:C50)</f>
        <v>19770</v>
      </c>
      <c r="D51" s="29">
        <f>SUM(D50:D50)</f>
        <v>19494</v>
      </c>
      <c r="E51" s="22">
        <f t="shared" si="0"/>
        <v>-276</v>
      </c>
    </row>
    <row r="52" spans="1:7" ht="15">
      <c r="A52" s="29">
        <v>119</v>
      </c>
      <c r="B52" s="30">
        <v>0.22</v>
      </c>
      <c r="C52" s="22">
        <v>33765.59</v>
      </c>
      <c r="D52" s="22">
        <f>(H39-I23-I14)*22%</f>
        <v>33298.35113418</v>
      </c>
      <c r="E52" s="22">
        <f t="shared" si="0"/>
        <v>-467.2388658199998</v>
      </c>
      <c r="F52" s="31"/>
      <c r="G52" s="14"/>
    </row>
    <row r="53" spans="1:7" ht="15">
      <c r="A53" s="29">
        <v>119</v>
      </c>
      <c r="B53" s="30">
        <v>0.029</v>
      </c>
      <c r="C53" s="22">
        <v>4450.93</v>
      </c>
      <c r="D53" s="22">
        <f>(H39-I14-I23)*2.9%</f>
        <v>4389.328104050999</v>
      </c>
      <c r="E53" s="22">
        <f t="shared" si="0"/>
        <v>-61.60189594900112</v>
      </c>
      <c r="F53" s="31"/>
      <c r="G53" s="14"/>
    </row>
    <row r="54" spans="1:7" ht="15">
      <c r="A54" s="29">
        <v>119</v>
      </c>
      <c r="B54" s="30">
        <v>0.051</v>
      </c>
      <c r="C54" s="22">
        <v>7827.46</v>
      </c>
      <c r="D54" s="22">
        <f>(H39-I23-I14)*5.1%</f>
        <v>7719.163217468999</v>
      </c>
      <c r="E54" s="22">
        <f t="shared" si="0"/>
        <v>-108.29678253100064</v>
      </c>
      <c r="F54" s="31"/>
      <c r="G54" s="14"/>
    </row>
    <row r="55" spans="1:7" ht="15">
      <c r="A55" s="29">
        <v>119</v>
      </c>
      <c r="B55" s="30">
        <v>0.002</v>
      </c>
      <c r="C55" s="22">
        <v>306.96</v>
      </c>
      <c r="D55" s="22">
        <f>(H39-I14-I23)*0.2%</f>
        <v>302.712283038</v>
      </c>
      <c r="E55" s="22">
        <f t="shared" si="0"/>
        <v>-4.24771696199997</v>
      </c>
      <c r="F55" s="31"/>
      <c r="G55" s="14"/>
    </row>
    <row r="56" spans="1:7" ht="15">
      <c r="A56" s="143" t="s">
        <v>39</v>
      </c>
      <c r="B56" s="143"/>
      <c r="C56" s="32">
        <f>SUM(C52:C55)</f>
        <v>46350.939999999995</v>
      </c>
      <c r="D56" s="32">
        <f>SUM(D52:D55)</f>
        <v>45709.554738738</v>
      </c>
      <c r="E56" s="22">
        <f t="shared" si="0"/>
        <v>-641.3852612619958</v>
      </c>
      <c r="F56" s="33"/>
      <c r="G56" s="33"/>
    </row>
    <row r="57" spans="1:5" ht="15">
      <c r="A57" s="142" t="s">
        <v>45</v>
      </c>
      <c r="B57" s="142"/>
      <c r="C57" s="29">
        <f>C51+C56</f>
        <v>66120.94</v>
      </c>
      <c r="D57" s="29">
        <f>D51+D56</f>
        <v>65203.554738738</v>
      </c>
      <c r="E57" s="22">
        <f t="shared" si="0"/>
        <v>-917.385261262003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5"/>
    <mergeCell ref="G17:G26"/>
    <mergeCell ref="L17:L26"/>
    <mergeCell ref="M17:M26"/>
    <mergeCell ref="N17:N26"/>
    <mergeCell ref="N9:N16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J26:K26"/>
    <mergeCell ref="L34:L38"/>
    <mergeCell ref="M34:M38"/>
    <mergeCell ref="N34:N38"/>
    <mergeCell ref="O27:O33"/>
    <mergeCell ref="A33:B33"/>
    <mergeCell ref="C33:D33"/>
    <mergeCell ref="E33:F33"/>
    <mergeCell ref="H33:I33"/>
    <mergeCell ref="J33:K33"/>
    <mergeCell ref="A27:B32"/>
    <mergeCell ref="H39:I39"/>
    <mergeCell ref="J39:K39"/>
    <mergeCell ref="O34:O38"/>
    <mergeCell ref="A38:B38"/>
    <mergeCell ref="C38:D38"/>
    <mergeCell ref="E38:F38"/>
    <mergeCell ref="H38:I38"/>
    <mergeCell ref="J38:K38"/>
    <mergeCell ref="A34:B37"/>
    <mergeCell ref="G34:G38"/>
    <mergeCell ref="A48:E48"/>
    <mergeCell ref="A51:B51"/>
    <mergeCell ref="A56:B56"/>
    <mergeCell ref="A57:B57"/>
    <mergeCell ref="A39:B39"/>
    <mergeCell ref="C39:D39"/>
    <mergeCell ref="E39:F39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3">
      <selection activeCell="L6" sqref="L6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9.7109375" style="0" customWidth="1"/>
    <col min="13" max="13" width="12.421875" style="0" customWidth="1"/>
    <col min="14" max="14" width="15.57421875" style="0" customWidth="1"/>
    <col min="15" max="15" width="15.0039062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83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9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84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85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8147.300000000003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8147.300000000003</v>
      </c>
      <c r="M9" s="145">
        <f>H16-C16</f>
        <v>0</v>
      </c>
      <c r="N9" s="145">
        <v>8147.3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5000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5000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7.5" customHeight="1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12712</v>
      </c>
      <c r="F16" s="145"/>
      <c r="G16" s="145"/>
      <c r="H16" s="145">
        <f>I9+I10+I11+I12+I13+I14+I15</f>
        <v>20859.300000000003</v>
      </c>
      <c r="I16" s="145"/>
      <c r="J16" s="145">
        <f>K9+K10+K11+K12</f>
        <v>12712</v>
      </c>
      <c r="K16" s="145"/>
      <c r="L16" s="145"/>
      <c r="M16" s="145"/>
      <c r="N16" s="145"/>
      <c r="O16" s="145"/>
      <c r="P16" s="14"/>
    </row>
    <row r="17" spans="1:17" ht="13.5" customHeight="1">
      <c r="A17" s="147" t="s">
        <v>86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C26-E26</f>
        <v>20321.020000000004</v>
      </c>
      <c r="H17" s="10" t="s">
        <v>21</v>
      </c>
      <c r="I17" s="11">
        <v>12000</v>
      </c>
      <c r="J17" s="11" t="s">
        <v>13</v>
      </c>
      <c r="K17" s="17">
        <v>5067</v>
      </c>
      <c r="L17" s="145">
        <f>H26-J26</f>
        <v>20305.199999999997</v>
      </c>
      <c r="M17" s="145">
        <f>H26-C26</f>
        <v>-17.820000000006985</v>
      </c>
      <c r="N17" s="145">
        <v>20321.02</v>
      </c>
      <c r="O17" s="145">
        <f>L17-N17</f>
        <v>-15.820000000003347</v>
      </c>
      <c r="P17" s="14"/>
      <c r="Q17">
        <f>(январь!H25+февраль!H25+март!H25+апрель!H26+май!H26+H26-8400-85566)*13%-январь!K17-февраль!K17-март!K17-апрель!K17-май!K17</f>
        <v>5066.636707470003</v>
      </c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 t="s">
        <v>58</v>
      </c>
      <c r="F19" s="11">
        <v>85566</v>
      </c>
      <c r="G19" s="145"/>
      <c r="H19" s="18" t="s">
        <v>23</v>
      </c>
      <c r="I19" s="11">
        <f>I17*60.6%</f>
        <v>7272</v>
      </c>
      <c r="J19" s="11" t="s">
        <v>58</v>
      </c>
      <c r="K19" s="11">
        <v>85566</v>
      </c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0</v>
      </c>
    </row>
    <row r="21" spans="1:16" ht="24">
      <c r="A21" s="147"/>
      <c r="B21" s="147"/>
      <c r="C21" s="18" t="s">
        <v>87</v>
      </c>
      <c r="D21" s="11">
        <v>85566</v>
      </c>
      <c r="E21" s="11"/>
      <c r="F21" s="11"/>
      <c r="G21" s="145"/>
      <c r="H21" s="18" t="s">
        <v>87</v>
      </c>
      <c r="I21" s="11">
        <v>85566</v>
      </c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15911.22</v>
      </c>
      <c r="E22" s="11"/>
      <c r="F22" s="11"/>
      <c r="G22" s="145"/>
      <c r="H22" s="18" t="s">
        <v>16</v>
      </c>
      <c r="I22" s="11">
        <f>(I17+I18+I19+I20)*65%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125956.02</v>
      </c>
      <c r="D26" s="145"/>
      <c r="E26" s="145">
        <f>F17+F18+F19</f>
        <v>105635</v>
      </c>
      <c r="F26" s="145"/>
      <c r="G26" s="145"/>
      <c r="H26" s="145">
        <f>SUM(I17:I25)</f>
        <v>125938.2</v>
      </c>
      <c r="I26" s="145"/>
      <c r="J26" s="145">
        <f>K17+K18+K19</f>
        <v>105633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88</v>
      </c>
      <c r="B27" s="147"/>
      <c r="C27" s="10" t="s">
        <v>21</v>
      </c>
      <c r="D27" s="11">
        <v>7619.05</v>
      </c>
      <c r="E27" s="11" t="s">
        <v>13</v>
      </c>
      <c r="F27" s="17">
        <v>2091</v>
      </c>
      <c r="G27" s="145">
        <f>C33-E33</f>
        <v>3990.3800000000047</v>
      </c>
      <c r="H27" s="10" t="s">
        <v>21</v>
      </c>
      <c r="I27" s="11">
        <v>7619.05</v>
      </c>
      <c r="J27" s="11" t="s">
        <v>13</v>
      </c>
      <c r="K27" s="11">
        <v>2091</v>
      </c>
      <c r="L27" s="145">
        <f>H33-J33</f>
        <v>3990.378500000006</v>
      </c>
      <c r="M27" s="145">
        <f>H33-C33</f>
        <v>-0.0014999999984866008</v>
      </c>
      <c r="N27" s="145">
        <v>3990.38</v>
      </c>
      <c r="O27" s="145">
        <f>L27-N27</f>
        <v>-0.0014999999939391273</v>
      </c>
      <c r="P27" s="14"/>
    </row>
    <row r="28" spans="1:16" ht="36">
      <c r="A28" s="147"/>
      <c r="B28" s="147"/>
      <c r="C28" s="18" t="s">
        <v>27</v>
      </c>
      <c r="D28" s="11">
        <v>2127.24</v>
      </c>
      <c r="E28" s="16" t="s">
        <v>14</v>
      </c>
      <c r="F28" s="11">
        <v>10000</v>
      </c>
      <c r="G28" s="145"/>
      <c r="H28" s="18" t="s">
        <v>27</v>
      </c>
      <c r="I28" s="11">
        <v>2127.24</v>
      </c>
      <c r="J28" s="16" t="s">
        <v>14</v>
      </c>
      <c r="K28" s="11">
        <v>10000</v>
      </c>
      <c r="L28" s="145"/>
      <c r="M28" s="145"/>
      <c r="N28" s="145"/>
      <c r="O28" s="145"/>
      <c r="P28" s="14"/>
    </row>
    <row r="29" spans="1:16" ht="24">
      <c r="A29" s="147"/>
      <c r="B29" s="147"/>
      <c r="C29" s="37" t="s">
        <v>87</v>
      </c>
      <c r="D29" s="11">
        <v>46020</v>
      </c>
      <c r="E29" s="11" t="s">
        <v>58</v>
      </c>
      <c r="F29" s="11">
        <v>46020</v>
      </c>
      <c r="G29" s="145"/>
      <c r="H29" s="37" t="s">
        <v>87</v>
      </c>
      <c r="I29" s="11">
        <v>46020</v>
      </c>
      <c r="J29" s="11" t="s">
        <v>58</v>
      </c>
      <c r="K29" s="11">
        <v>46020</v>
      </c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6335.09</v>
      </c>
      <c r="E30" s="11"/>
      <c r="F30" s="11"/>
      <c r="G30" s="145"/>
      <c r="H30" s="18" t="s">
        <v>16</v>
      </c>
      <c r="I30" s="11">
        <f>(I27+I28)*65%</f>
        <v>6335.088500000001</v>
      </c>
      <c r="J30" s="11"/>
      <c r="K30" s="11"/>
      <c r="L30" s="145"/>
      <c r="M30" s="145"/>
      <c r="N30" s="145"/>
      <c r="O30" s="145"/>
      <c r="P30" s="14">
        <f>F28+G27-K28-N27</f>
        <v>4.547473508864641E-12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62101.380000000005</v>
      </c>
      <c r="D33" s="145"/>
      <c r="E33" s="145">
        <f>F27+F28+F29+F30</f>
        <v>58111</v>
      </c>
      <c r="F33" s="145"/>
      <c r="G33" s="145"/>
      <c r="H33" s="145">
        <f>I27+I28+I30+I31+I29</f>
        <v>62101.378500000006</v>
      </c>
      <c r="I33" s="145"/>
      <c r="J33" s="145">
        <f>K27+K28+K29+K30</f>
        <v>58111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89</v>
      </c>
      <c r="B34" s="147"/>
      <c r="C34" s="10" t="s">
        <v>21</v>
      </c>
      <c r="D34" s="11">
        <v>14545.5</v>
      </c>
      <c r="E34" s="11" t="s">
        <v>13</v>
      </c>
      <c r="F34" s="17">
        <v>4882</v>
      </c>
      <c r="G34" s="145">
        <f>C39-E39</f>
        <v>22668.069999999992</v>
      </c>
      <c r="H34" s="10" t="s">
        <v>21</v>
      </c>
      <c r="I34" s="11">
        <v>14545.5</v>
      </c>
      <c r="J34" s="11" t="s">
        <v>13</v>
      </c>
      <c r="K34" s="11">
        <v>4882</v>
      </c>
      <c r="L34" s="145">
        <f>H39-J39</f>
        <v>22668.073000000004</v>
      </c>
      <c r="M34" s="145">
        <f>H39-C39</f>
        <v>0.003000000011525117</v>
      </c>
      <c r="N34" s="145">
        <v>22668.07</v>
      </c>
      <c r="O34" s="145">
        <f>L34-N34</f>
        <v>0.0030000000042491592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>
      <c r="A36" s="147"/>
      <c r="B36" s="147"/>
      <c r="C36" s="38" t="s">
        <v>90</v>
      </c>
      <c r="D36" s="11">
        <v>7000</v>
      </c>
      <c r="E36" s="11" t="s">
        <v>58</v>
      </c>
      <c r="F36" s="11">
        <v>50880</v>
      </c>
      <c r="G36" s="145"/>
      <c r="H36" s="38" t="s">
        <v>91</v>
      </c>
      <c r="I36" s="11">
        <v>7000</v>
      </c>
      <c r="J36" s="11" t="s">
        <v>58</v>
      </c>
      <c r="K36" s="11">
        <v>50880</v>
      </c>
      <c r="L36" s="145"/>
      <c r="M36" s="145"/>
      <c r="N36" s="145"/>
      <c r="O36" s="145"/>
      <c r="P36" s="14"/>
    </row>
    <row r="37" spans="1:16" ht="21" customHeight="1">
      <c r="A37" s="147"/>
      <c r="B37" s="147"/>
      <c r="C37" s="37" t="s">
        <v>87</v>
      </c>
      <c r="D37" s="11">
        <v>50880</v>
      </c>
      <c r="E37" s="11"/>
      <c r="F37" s="11"/>
      <c r="G37" s="145"/>
      <c r="H37" s="37" t="s">
        <v>87</v>
      </c>
      <c r="I37" s="11">
        <v>50880</v>
      </c>
      <c r="J37" s="16"/>
      <c r="K37" s="11"/>
      <c r="L37" s="145"/>
      <c r="M37" s="145"/>
      <c r="N37" s="145"/>
      <c r="O37" s="145"/>
      <c r="P37" s="14"/>
    </row>
    <row r="38" spans="1:16" ht="18" customHeight="1">
      <c r="A38" s="147"/>
      <c r="B38" s="147"/>
      <c r="C38" s="18" t="s">
        <v>16</v>
      </c>
      <c r="D38" s="11">
        <v>14792.45</v>
      </c>
      <c r="E38" s="11"/>
      <c r="F38" s="11"/>
      <c r="G38" s="145"/>
      <c r="H38" s="18" t="s">
        <v>16</v>
      </c>
      <c r="I38" s="11">
        <f>(I34+I35+I36)*65%</f>
        <v>14792.453</v>
      </c>
      <c r="J38" s="17"/>
      <c r="K38" s="11"/>
      <c r="L38" s="145"/>
      <c r="M38" s="145"/>
      <c r="N38" s="145"/>
      <c r="O38" s="145"/>
      <c r="P38" s="14"/>
    </row>
    <row r="39" spans="1:16" ht="13.5" customHeight="1">
      <c r="A39" s="146" t="s">
        <v>19</v>
      </c>
      <c r="B39" s="146"/>
      <c r="C39" s="145">
        <f>D34+D35+D36+D37+D38</f>
        <v>88430.06999999999</v>
      </c>
      <c r="D39" s="145"/>
      <c r="E39" s="145">
        <f>F34+F35+F36</f>
        <v>65762</v>
      </c>
      <c r="F39" s="145"/>
      <c r="G39" s="145"/>
      <c r="H39" s="145">
        <f>I34+I35+I36+I38+I37</f>
        <v>88430.073</v>
      </c>
      <c r="I39" s="145"/>
      <c r="J39" s="145">
        <f>K34+K35+K36</f>
        <v>65762</v>
      </c>
      <c r="K39" s="145"/>
      <c r="L39" s="145"/>
      <c r="M39" s="145"/>
      <c r="N39" s="145"/>
      <c r="O39" s="145"/>
      <c r="P39" s="14"/>
    </row>
    <row r="40" spans="1:17" ht="13.5" customHeight="1">
      <c r="A40" s="154" t="s">
        <v>92</v>
      </c>
      <c r="B40" s="154"/>
      <c r="C40" s="10" t="s">
        <v>21</v>
      </c>
      <c r="D40" s="11">
        <v>2380.95</v>
      </c>
      <c r="E40" s="11" t="s">
        <v>13</v>
      </c>
      <c r="F40" s="11">
        <v>653</v>
      </c>
      <c r="G40" s="145">
        <f>C43-E43</f>
        <v>4370.47</v>
      </c>
      <c r="H40" s="10" t="s">
        <v>93</v>
      </c>
      <c r="I40" s="11">
        <v>2380.95</v>
      </c>
      <c r="J40" s="11" t="s">
        <v>13</v>
      </c>
      <c r="K40" s="11">
        <v>653</v>
      </c>
      <c r="L40" s="145">
        <f>H43-J43</f>
        <v>4370.47</v>
      </c>
      <c r="M40" s="145">
        <f>H43-C43</f>
        <v>0</v>
      </c>
      <c r="N40" s="145">
        <v>4370.47</v>
      </c>
      <c r="O40" s="145">
        <f>L40-N40</f>
        <v>0</v>
      </c>
      <c r="P40" s="14"/>
      <c r="Q40" t="s">
        <v>94</v>
      </c>
    </row>
    <row r="41" spans="1:16" ht="28.5" customHeight="1">
      <c r="A41" s="154"/>
      <c r="B41" s="154"/>
      <c r="C41" s="18" t="s">
        <v>27</v>
      </c>
      <c r="D41" s="11">
        <v>664.76</v>
      </c>
      <c r="E41" s="16" t="s">
        <v>14</v>
      </c>
      <c r="F41" s="11"/>
      <c r="G41" s="145"/>
      <c r="H41" s="18" t="s">
        <v>27</v>
      </c>
      <c r="I41" s="11">
        <v>664.76</v>
      </c>
      <c r="J41" s="16" t="s">
        <v>14</v>
      </c>
      <c r="K41" s="11"/>
      <c r="L41" s="145"/>
      <c r="M41" s="145"/>
      <c r="N41" s="145"/>
      <c r="O41" s="145"/>
      <c r="P41" s="14"/>
    </row>
    <row r="42" spans="1:16" ht="18" customHeight="1">
      <c r="A42" s="154"/>
      <c r="B42" s="154"/>
      <c r="C42" s="18" t="s">
        <v>16</v>
      </c>
      <c r="D42" s="11">
        <v>1977.76</v>
      </c>
      <c r="E42" s="11"/>
      <c r="F42" s="11"/>
      <c r="G42" s="145"/>
      <c r="H42" s="18" t="s">
        <v>16</v>
      </c>
      <c r="I42" s="11">
        <v>1977.76</v>
      </c>
      <c r="J42" s="11"/>
      <c r="K42" s="11"/>
      <c r="L42" s="145"/>
      <c r="M42" s="145"/>
      <c r="N42" s="145"/>
      <c r="O42" s="145"/>
      <c r="P42" s="14"/>
    </row>
    <row r="43" spans="1:16" ht="13.5" customHeight="1">
      <c r="A43" s="146" t="s">
        <v>19</v>
      </c>
      <c r="B43" s="146"/>
      <c r="C43" s="145">
        <f>D40+D41+D42</f>
        <v>5023.47</v>
      </c>
      <c r="D43" s="145"/>
      <c r="E43" s="145">
        <f>F40+F41+F42</f>
        <v>653</v>
      </c>
      <c r="F43" s="145"/>
      <c r="G43" s="145"/>
      <c r="H43" s="145">
        <f>I40+I41+I42</f>
        <v>5023.47</v>
      </c>
      <c r="I43" s="145"/>
      <c r="J43" s="145">
        <f>K40+K41+K42</f>
        <v>653</v>
      </c>
      <c r="K43" s="145"/>
      <c r="L43" s="145"/>
      <c r="M43" s="145"/>
      <c r="N43" s="145"/>
      <c r="O43" s="145"/>
      <c r="P43" s="14"/>
    </row>
    <row r="44" spans="1:16" ht="20.25" customHeight="1">
      <c r="A44" s="144" t="s">
        <v>54</v>
      </c>
      <c r="B44" s="144"/>
      <c r="C44" s="145">
        <f>C16+C26+C33+C39+C43</f>
        <v>302370.24</v>
      </c>
      <c r="D44" s="145"/>
      <c r="E44" s="145">
        <f>E16+E26+E33+E39+E43</f>
        <v>242873</v>
      </c>
      <c r="F44" s="145"/>
      <c r="G44" s="12">
        <f>SUM(G9:G43)</f>
        <v>59497.240000000005</v>
      </c>
      <c r="H44" s="145">
        <f>H16+H26+H33+H39+H43</f>
        <v>302352.42149999994</v>
      </c>
      <c r="I44" s="145"/>
      <c r="J44" s="145">
        <f>J16+J26+J33+J39+J43</f>
        <v>242871</v>
      </c>
      <c r="K44" s="145"/>
      <c r="L44" s="12">
        <f>SUM(L9:L43)</f>
        <v>59481.42150000001</v>
      </c>
      <c r="M44" s="12">
        <f>SUM(M9:M43)</f>
        <v>-17.818499999993946</v>
      </c>
      <c r="N44" s="12">
        <f>SUM(N9:N43)</f>
        <v>59497.240000000005</v>
      </c>
      <c r="O44" s="12">
        <f>SUM(O9:O43)</f>
        <v>-15.818499999993037</v>
      </c>
      <c r="P44" s="14"/>
    </row>
    <row r="45" spans="3:13" ht="21" customHeight="1">
      <c r="C45" t="s">
        <v>95</v>
      </c>
      <c r="D45">
        <f>D21+D29+D37</f>
        <v>182466</v>
      </c>
      <c r="E45" s="20"/>
      <c r="F45" s="21"/>
      <c r="G45" s="21"/>
      <c r="H45" s="21"/>
      <c r="I45" s="21"/>
      <c r="J45" s="21"/>
      <c r="K45" s="21"/>
      <c r="L45" s="21"/>
      <c r="M45" s="21"/>
    </row>
    <row r="46" spans="1:13" ht="69.75" customHeight="1">
      <c r="A46" s="22"/>
      <c r="B46" s="23" t="s">
        <v>31</v>
      </c>
      <c r="C46" s="23" t="s">
        <v>32</v>
      </c>
      <c r="D46" s="24" t="s">
        <v>33</v>
      </c>
      <c r="E46" s="25" t="s">
        <v>34</v>
      </c>
      <c r="F46" s="21"/>
      <c r="G46" s="21"/>
      <c r="H46" s="21"/>
      <c r="I46" s="21"/>
      <c r="J46" s="21"/>
      <c r="K46" s="21"/>
      <c r="L46" s="21"/>
      <c r="M46" s="21"/>
    </row>
    <row r="47" spans="1:13" ht="16.5" customHeight="1">
      <c r="A47" s="22" t="s">
        <v>35</v>
      </c>
      <c r="B47" s="22">
        <f>C16-F9</f>
        <v>18147.300000000003</v>
      </c>
      <c r="C47" s="22">
        <f>K10+N9</f>
        <v>13147.3</v>
      </c>
      <c r="D47" s="25">
        <f>H16-K9</f>
        <v>18147.300000000003</v>
      </c>
      <c r="E47" s="26">
        <f>D47-C47</f>
        <v>5000.000000000004</v>
      </c>
      <c r="F47" s="21"/>
      <c r="G47" s="21"/>
      <c r="H47" s="21"/>
      <c r="I47" s="21"/>
      <c r="J47" s="21">
        <f>K10+K18+K28+K35+N44</f>
        <v>99497.24</v>
      </c>
      <c r="K47" s="21"/>
      <c r="L47" s="21"/>
      <c r="M47" s="21"/>
    </row>
    <row r="48" spans="1:13" ht="15.75" customHeight="1">
      <c r="A48" s="22" t="s">
        <v>36</v>
      </c>
      <c r="B48" s="22">
        <f>C26-F17</f>
        <v>120887.02</v>
      </c>
      <c r="C48" s="22">
        <f>K18+N17</f>
        <v>35321.020000000004</v>
      </c>
      <c r="D48" s="25">
        <f>H26-K17</f>
        <v>120871.2</v>
      </c>
      <c r="E48" s="26">
        <f>D48-C48</f>
        <v>85550.18</v>
      </c>
      <c r="F48" s="21"/>
      <c r="G48" s="21"/>
      <c r="H48" s="21"/>
      <c r="I48" s="21"/>
      <c r="J48" s="21"/>
      <c r="K48" s="21"/>
      <c r="L48" s="21"/>
      <c r="M48" s="21"/>
    </row>
    <row r="49" spans="1:13" ht="14.25" customHeight="1">
      <c r="A49" s="22" t="s">
        <v>37</v>
      </c>
      <c r="B49" s="22">
        <f>C33-F27</f>
        <v>60010.380000000005</v>
      </c>
      <c r="C49" s="22">
        <f>K28+N27</f>
        <v>13990.380000000001</v>
      </c>
      <c r="D49" s="25">
        <f>H33-K27</f>
        <v>60010.378500000006</v>
      </c>
      <c r="E49" s="26">
        <f>D49-C49</f>
        <v>46019.9985</v>
      </c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2" t="s">
        <v>38</v>
      </c>
      <c r="B50" s="22">
        <f>C39-F34</f>
        <v>83548.06999999999</v>
      </c>
      <c r="C50" s="22">
        <f>K35+N34</f>
        <v>32668.07</v>
      </c>
      <c r="D50" s="25">
        <f>H39-K34</f>
        <v>83548.073</v>
      </c>
      <c r="E50" s="26">
        <f>D50-C50</f>
        <v>50880.003000000004</v>
      </c>
      <c r="F50" s="21"/>
      <c r="G50" s="21"/>
      <c r="H50" s="21"/>
      <c r="I50" s="21"/>
      <c r="J50" s="21"/>
      <c r="K50" s="21"/>
      <c r="L50" s="21"/>
      <c r="M50" s="21"/>
    </row>
    <row r="51" spans="1:13" ht="15.75" customHeight="1">
      <c r="A51" s="22" t="s">
        <v>39</v>
      </c>
      <c r="B51" s="22">
        <f>B47+B48+B49+B50</f>
        <v>282592.77</v>
      </c>
      <c r="C51" s="22">
        <f>C47+C48+C49+C50</f>
        <v>95126.77000000002</v>
      </c>
      <c r="D51" s="25">
        <f>SUM(D47:D50)</f>
        <v>282576.95149999997</v>
      </c>
      <c r="E51" s="26">
        <f>D51-C51</f>
        <v>187450.18149999995</v>
      </c>
      <c r="F51" s="27"/>
      <c r="G51" s="21"/>
      <c r="H51" s="21"/>
      <c r="I51" s="21"/>
      <c r="J51" s="21"/>
      <c r="K51" s="21"/>
      <c r="L51" s="21"/>
      <c r="M51" s="21"/>
    </row>
    <row r="52" spans="1:13" ht="15.75" customHeight="1">
      <c r="A52" s="28"/>
      <c r="B52" s="28"/>
      <c r="C52" s="28"/>
      <c r="D52" s="28"/>
      <c r="E52" s="25"/>
      <c r="F52" s="21"/>
      <c r="G52" s="21"/>
      <c r="H52" s="21"/>
      <c r="I52" s="21"/>
      <c r="J52" s="21"/>
      <c r="K52" s="21"/>
      <c r="L52" s="21"/>
      <c r="M52" s="21"/>
    </row>
    <row r="53" spans="1:13" ht="19.5" customHeight="1">
      <c r="A53" s="141" t="s">
        <v>40</v>
      </c>
      <c r="B53" s="141"/>
      <c r="C53" s="141"/>
      <c r="D53" s="141"/>
      <c r="E53" s="141"/>
      <c r="F53" s="21"/>
      <c r="G53" s="21"/>
      <c r="H53" s="21"/>
      <c r="I53" s="21"/>
      <c r="J53" s="21"/>
      <c r="K53" s="21"/>
      <c r="L53" s="21"/>
      <c r="M53" s="21"/>
    </row>
    <row r="54" spans="1:7" ht="24">
      <c r="A54" s="29" t="s">
        <v>41</v>
      </c>
      <c r="B54" s="23" t="s">
        <v>42</v>
      </c>
      <c r="C54" s="23" t="s">
        <v>43</v>
      </c>
      <c r="D54" s="23" t="s">
        <v>44</v>
      </c>
      <c r="E54" s="23" t="s">
        <v>34</v>
      </c>
      <c r="G54">
        <f>F11+F19+F29+F36</f>
        <v>187466</v>
      </c>
    </row>
    <row r="55" spans="1:5" ht="15">
      <c r="A55" s="29">
        <v>111</v>
      </c>
      <c r="B55" s="22" t="s">
        <v>13</v>
      </c>
      <c r="C55" s="22">
        <f>F9+F17+F27+F34+F40</f>
        <v>15407</v>
      </c>
      <c r="D55" s="22">
        <f>K9+K17+K27+K34+K40</f>
        <v>15405</v>
      </c>
      <c r="E55" s="22">
        <f aca="true" t="shared" si="0" ref="E55:E62">D55-C55</f>
        <v>-2</v>
      </c>
    </row>
    <row r="56" spans="1:5" ht="15">
      <c r="A56" s="142" t="s">
        <v>39</v>
      </c>
      <c r="B56" s="142"/>
      <c r="C56" s="29">
        <f>SUM(C55:C55)</f>
        <v>15407</v>
      </c>
      <c r="D56" s="29">
        <f>SUM(D55:D55)</f>
        <v>15405</v>
      </c>
      <c r="E56" s="22">
        <f t="shared" si="0"/>
        <v>-2</v>
      </c>
    </row>
    <row r="57" spans="1:7" ht="15">
      <c r="A57" s="29">
        <v>119</v>
      </c>
      <c r="B57" s="30">
        <v>0.22</v>
      </c>
      <c r="C57" s="22">
        <v>25273.77</v>
      </c>
      <c r="D57" s="22">
        <f>(H44)*22%</f>
        <v>66517.53272999999</v>
      </c>
      <c r="E57" s="22">
        <f t="shared" si="0"/>
        <v>41243.76272999999</v>
      </c>
      <c r="F57" s="31"/>
      <c r="G57" s="14"/>
    </row>
    <row r="58" spans="1:7" ht="15">
      <c r="A58" s="29">
        <v>119</v>
      </c>
      <c r="B58" s="30">
        <v>0.029</v>
      </c>
      <c r="C58" s="22">
        <v>3331.54</v>
      </c>
      <c r="D58" s="22">
        <f>(H44)*2.9%</f>
        <v>8768.220223499997</v>
      </c>
      <c r="E58" s="22">
        <f t="shared" si="0"/>
        <v>5436.680223499997</v>
      </c>
      <c r="F58" s="31"/>
      <c r="G58" s="14"/>
    </row>
    <row r="59" spans="1:7" ht="15">
      <c r="A59" s="29">
        <v>119</v>
      </c>
      <c r="B59" s="30">
        <v>0.051</v>
      </c>
      <c r="C59" s="22">
        <f>8032.11+6290.86</f>
        <v>14322.97</v>
      </c>
      <c r="D59" s="22">
        <f>(H44)*5.1%</f>
        <v>15419.973496499995</v>
      </c>
      <c r="E59" s="22">
        <f t="shared" si="0"/>
        <v>1097.003496499996</v>
      </c>
      <c r="F59" s="31"/>
      <c r="G59" s="14"/>
    </row>
    <row r="60" spans="1:7" ht="15">
      <c r="A60" s="29">
        <v>119</v>
      </c>
      <c r="B60" s="30">
        <v>0.002</v>
      </c>
      <c r="C60" s="22">
        <v>229.76</v>
      </c>
      <c r="D60" s="22">
        <f>(H44)*0.2%</f>
        <v>604.7048429999999</v>
      </c>
      <c r="E60" s="22">
        <f t="shared" si="0"/>
        <v>374.9448429999999</v>
      </c>
      <c r="F60" s="31"/>
      <c r="G60" s="14"/>
    </row>
    <row r="61" spans="1:7" ht="15">
      <c r="A61" s="143" t="s">
        <v>39</v>
      </c>
      <c r="B61" s="143"/>
      <c r="C61" s="32">
        <f>SUM(C57:C60)</f>
        <v>43158.04</v>
      </c>
      <c r="D61" s="32">
        <f>SUM(D57:D60)</f>
        <v>91310.43129299999</v>
      </c>
      <c r="E61" s="22">
        <f t="shared" si="0"/>
        <v>48152.391292999986</v>
      </c>
      <c r="F61" s="33"/>
      <c r="G61" s="33"/>
    </row>
    <row r="62" spans="1:5" ht="15">
      <c r="A62" s="142" t="s">
        <v>45</v>
      </c>
      <c r="B62" s="142"/>
      <c r="C62" s="29">
        <f>C56+C61</f>
        <v>58565.04</v>
      </c>
      <c r="D62" s="29">
        <f>D56+D61</f>
        <v>106715.43129299999</v>
      </c>
      <c r="E62" s="22">
        <f t="shared" si="0"/>
        <v>48150.391292999986</v>
      </c>
    </row>
  </sheetData>
  <sheetProtection/>
  <mergeCells count="79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N9:N16"/>
    <mergeCell ref="O9:O16"/>
    <mergeCell ref="A16:B16"/>
    <mergeCell ref="C16:D16"/>
    <mergeCell ref="E16:F16"/>
    <mergeCell ref="H16:I16"/>
    <mergeCell ref="J16:K16"/>
    <mergeCell ref="J26:K26"/>
    <mergeCell ref="A17:B25"/>
    <mergeCell ref="G17:G26"/>
    <mergeCell ref="L17:L26"/>
    <mergeCell ref="M17:M26"/>
    <mergeCell ref="N17:N26"/>
    <mergeCell ref="A27:B32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G34:G39"/>
    <mergeCell ref="L34:L39"/>
    <mergeCell ref="M34:M39"/>
    <mergeCell ref="N34:N39"/>
    <mergeCell ref="O27:O33"/>
    <mergeCell ref="A33:B33"/>
    <mergeCell ref="C33:D33"/>
    <mergeCell ref="E33:F33"/>
    <mergeCell ref="H33:I33"/>
    <mergeCell ref="J33:K33"/>
    <mergeCell ref="L40:L43"/>
    <mergeCell ref="M40:M43"/>
    <mergeCell ref="N40:N43"/>
    <mergeCell ref="O34:O39"/>
    <mergeCell ref="A39:B39"/>
    <mergeCell ref="C39:D39"/>
    <mergeCell ref="E39:F39"/>
    <mergeCell ref="H39:I39"/>
    <mergeCell ref="J39:K39"/>
    <mergeCell ref="A34:B38"/>
    <mergeCell ref="H44:I44"/>
    <mergeCell ref="J44:K44"/>
    <mergeCell ref="O40:O43"/>
    <mergeCell ref="A43:B43"/>
    <mergeCell ref="C43:D43"/>
    <mergeCell ref="E43:F43"/>
    <mergeCell ref="H43:I43"/>
    <mergeCell ref="J43:K43"/>
    <mergeCell ref="A40:B42"/>
    <mergeCell ref="G40:G43"/>
    <mergeCell ref="A53:E53"/>
    <mergeCell ref="A56:B56"/>
    <mergeCell ref="A61:B61"/>
    <mergeCell ref="A62:B62"/>
    <mergeCell ref="A44:B44"/>
    <mergeCell ref="C44:D44"/>
    <mergeCell ref="E44:F44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3">
      <selection activeCell="O1" sqref="O1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96</v>
      </c>
    </row>
    <row r="2" spans="1:15" ht="7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97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67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8147.300000000003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8147.300000000003</v>
      </c>
      <c r="M9" s="145">
        <f>H16-C16</f>
        <v>0</v>
      </c>
      <c r="N9" s="145">
        <v>8147.3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5000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5000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12712</v>
      </c>
      <c r="F16" s="145"/>
      <c r="G16" s="145"/>
      <c r="H16" s="145">
        <f>I9+I10+I11+I12+I13+I14+I15</f>
        <v>20859.300000000003</v>
      </c>
      <c r="I16" s="145"/>
      <c r="J16" s="145">
        <f>K9+K10+K11+K12</f>
        <v>12712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98</v>
      </c>
      <c r="B17" s="147"/>
      <c r="C17" s="10" t="s">
        <v>21</v>
      </c>
      <c r="D17" s="11">
        <v>0</v>
      </c>
      <c r="E17" s="11" t="s">
        <v>13</v>
      </c>
      <c r="F17" s="11">
        <v>8691</v>
      </c>
      <c r="G17" s="145">
        <f>C26-E26</f>
        <v>0</v>
      </c>
      <c r="H17" s="10" t="s">
        <v>21</v>
      </c>
      <c r="I17" s="11">
        <v>0</v>
      </c>
      <c r="J17" s="11" t="s">
        <v>13</v>
      </c>
      <c r="K17" s="17">
        <v>8691</v>
      </c>
      <c r="L17" s="145">
        <f>H26-J26</f>
        <v>0</v>
      </c>
      <c r="M17" s="145">
        <f>H26-C26</f>
        <v>0</v>
      </c>
      <c r="N17" s="145"/>
      <c r="O17" s="145">
        <f>L17-N17</f>
        <v>0</v>
      </c>
      <c r="P17" s="14"/>
    </row>
    <row r="18" spans="1:16" ht="36">
      <c r="A18" s="147"/>
      <c r="B18" s="147"/>
      <c r="C18" s="15" t="s">
        <v>22</v>
      </c>
      <c r="D18" s="11">
        <f>D17*30%</f>
        <v>0</v>
      </c>
      <c r="E18" s="16" t="s">
        <v>14</v>
      </c>
      <c r="F18" s="11">
        <v>0</v>
      </c>
      <c r="G18" s="145"/>
      <c r="H18" s="15" t="s">
        <v>22</v>
      </c>
      <c r="I18" s="11">
        <f>I17*30%</f>
        <v>0</v>
      </c>
      <c r="J18" s="16" t="s">
        <v>14</v>
      </c>
      <c r="K18" s="11"/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0</v>
      </c>
      <c r="E19" s="11" t="s">
        <v>99</v>
      </c>
      <c r="F19" s="11">
        <f>51000+8560.99</f>
        <v>59560.99</v>
      </c>
      <c r="G19" s="145"/>
      <c r="H19" s="18" t="s">
        <v>23</v>
      </c>
      <c r="I19" s="11">
        <f>I17*60.6%</f>
        <v>0</v>
      </c>
      <c r="J19" s="11" t="s">
        <v>99</v>
      </c>
      <c r="K19" s="11">
        <f>51000+8560.99</f>
        <v>59560.99</v>
      </c>
      <c r="L19" s="145"/>
      <c r="M19" s="145"/>
      <c r="N19" s="145"/>
      <c r="O19" s="145"/>
      <c r="P19" s="14"/>
    </row>
    <row r="20" spans="1:16" ht="24">
      <c r="A20" s="147"/>
      <c r="B20" s="147"/>
      <c r="C20" s="18" t="s">
        <v>24</v>
      </c>
      <c r="D20" s="11">
        <v>0</v>
      </c>
      <c r="E20" s="11"/>
      <c r="F20" s="11"/>
      <c r="G20" s="145"/>
      <c r="H20" s="18" t="s">
        <v>24</v>
      </c>
      <c r="I20" s="11">
        <f>I17*13.3%</f>
        <v>0</v>
      </c>
      <c r="J20" s="39" t="s">
        <v>100</v>
      </c>
      <c r="K20" s="11"/>
      <c r="L20" s="145"/>
      <c r="M20" s="145"/>
      <c r="N20" s="145"/>
      <c r="O20" s="145"/>
      <c r="P20" s="14">
        <f>F18+G17-K18-N17</f>
        <v>0</v>
      </c>
    </row>
    <row r="21" spans="1:16" ht="15">
      <c r="A21" s="147"/>
      <c r="B21" s="147"/>
      <c r="C21" s="18"/>
      <c r="D21" s="11">
        <v>0</v>
      </c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0</v>
      </c>
      <c r="E22" s="11"/>
      <c r="F22" s="11"/>
      <c r="G22" s="145"/>
      <c r="H22" s="18" t="s">
        <v>16</v>
      </c>
      <c r="I22" s="11">
        <f>(I17+I18+I19+I20+I21)*65%</f>
        <v>0</v>
      </c>
      <c r="J22" s="17"/>
      <c r="K22" s="11"/>
      <c r="L22" s="145"/>
      <c r="M22" s="145"/>
      <c r="N22" s="145"/>
      <c r="O22" s="145"/>
      <c r="P22" s="14"/>
    </row>
    <row r="23" spans="1:16" ht="15">
      <c r="A23" s="147"/>
      <c r="B23" s="147"/>
      <c r="C23" s="18" t="s">
        <v>101</v>
      </c>
      <c r="D23" s="11">
        <v>68251.99</v>
      </c>
      <c r="E23" s="11"/>
      <c r="F23" s="11"/>
      <c r="G23" s="145"/>
      <c r="H23" s="18" t="s">
        <v>101</v>
      </c>
      <c r="I23" s="11">
        <v>68251.99</v>
      </c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68251.99</v>
      </c>
      <c r="D26" s="145"/>
      <c r="E26" s="145">
        <f>F17+F18+F19</f>
        <v>68251.98999999999</v>
      </c>
      <c r="F26" s="145"/>
      <c r="G26" s="145"/>
      <c r="H26" s="145">
        <f>SUM(I17:I25)</f>
        <v>68251.99</v>
      </c>
      <c r="I26" s="145"/>
      <c r="J26" s="145">
        <f>K17+K18+K19</f>
        <v>68251.98999999999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102</v>
      </c>
      <c r="B27" s="147"/>
      <c r="C27" s="10" t="s">
        <v>21</v>
      </c>
      <c r="D27" s="11">
        <v>454.55</v>
      </c>
      <c r="E27" s="11" t="s">
        <v>13</v>
      </c>
      <c r="F27" s="17">
        <v>4983</v>
      </c>
      <c r="G27" s="145">
        <f>C33-E33</f>
        <v>834.4100000000035</v>
      </c>
      <c r="H27" s="10" t="s">
        <v>21</v>
      </c>
      <c r="I27" s="11">
        <v>454.55</v>
      </c>
      <c r="J27" s="11" t="s">
        <v>13</v>
      </c>
      <c r="K27" s="11">
        <v>4983</v>
      </c>
      <c r="L27" s="145">
        <f>H33-J33</f>
        <v>834.4089999999997</v>
      </c>
      <c r="M27" s="145">
        <f>H33-C33</f>
        <v>-0.0010000000038417056</v>
      </c>
      <c r="N27" s="145">
        <v>834.41</v>
      </c>
      <c r="O27" s="145">
        <f>L27-N27</f>
        <v>-0.0010000000003174137</v>
      </c>
      <c r="P27" s="14"/>
    </row>
    <row r="28" spans="1:16" ht="36">
      <c r="A28" s="147"/>
      <c r="B28" s="147"/>
      <c r="C28" s="18" t="s">
        <v>27</v>
      </c>
      <c r="D28" s="11">
        <v>126.91</v>
      </c>
      <c r="E28" s="16" t="s">
        <v>14</v>
      </c>
      <c r="F28" s="11">
        <v>0</v>
      </c>
      <c r="G28" s="145"/>
      <c r="H28" s="18" t="s">
        <v>27</v>
      </c>
      <c r="I28" s="11">
        <v>126.91</v>
      </c>
      <c r="J28" s="16" t="s">
        <v>14</v>
      </c>
      <c r="K28" s="11"/>
      <c r="L28" s="145"/>
      <c r="M28" s="145"/>
      <c r="N28" s="145"/>
      <c r="O28" s="145"/>
      <c r="P28" s="14"/>
    </row>
    <row r="29" spans="1:16" ht="24">
      <c r="A29" s="147"/>
      <c r="B29" s="147"/>
      <c r="C29" s="18" t="s">
        <v>16</v>
      </c>
      <c r="D29" s="11">
        <v>377.95</v>
      </c>
      <c r="E29" s="11" t="s">
        <v>99</v>
      </c>
      <c r="F29" s="11">
        <v>32510.39</v>
      </c>
      <c r="G29" s="145"/>
      <c r="H29" s="18" t="s">
        <v>16</v>
      </c>
      <c r="I29" s="11">
        <f>(I28+I27)*65%</f>
        <v>377.949</v>
      </c>
      <c r="J29" s="11" t="s">
        <v>99</v>
      </c>
      <c r="K29" s="11">
        <v>32510.39</v>
      </c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103</v>
      </c>
      <c r="D30" s="11">
        <v>37368.39</v>
      </c>
      <c r="E30" s="11"/>
      <c r="F30" s="11"/>
      <c r="G30" s="145"/>
      <c r="H30" s="18" t="s">
        <v>103</v>
      </c>
      <c r="I30" s="11">
        <v>37368.39</v>
      </c>
      <c r="J30" s="39" t="s">
        <v>100</v>
      </c>
      <c r="K30" s="11"/>
      <c r="L30" s="145"/>
      <c r="M30" s="145"/>
      <c r="N30" s="145"/>
      <c r="O30" s="145"/>
      <c r="P30" s="14">
        <f>F28+G27-K28-N27</f>
        <v>3.524291969370097E-12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38327.8</v>
      </c>
      <c r="D33" s="145"/>
      <c r="E33" s="145">
        <f>F27+F28+F29+F30</f>
        <v>37493.39</v>
      </c>
      <c r="F33" s="145"/>
      <c r="G33" s="145"/>
      <c r="H33" s="145">
        <f>I27+I28+I30+I31+I29</f>
        <v>38327.799</v>
      </c>
      <c r="I33" s="145"/>
      <c r="J33" s="145">
        <f>K27+K28+K29+K30</f>
        <v>37493.39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104</v>
      </c>
      <c r="B34" s="147"/>
      <c r="C34" s="10" t="s">
        <v>21</v>
      </c>
      <c r="D34" s="11">
        <v>0</v>
      </c>
      <c r="E34" s="11" t="s">
        <v>13</v>
      </c>
      <c r="F34" s="17">
        <v>5972</v>
      </c>
      <c r="G34" s="145">
        <f>C39-E39</f>
        <v>0</v>
      </c>
      <c r="H34" s="10" t="s">
        <v>21</v>
      </c>
      <c r="I34" s="11">
        <v>0</v>
      </c>
      <c r="J34" s="11" t="s">
        <v>13</v>
      </c>
      <c r="K34" s="11">
        <v>5972</v>
      </c>
      <c r="L34" s="145">
        <f>H39-J39</f>
        <v>0</v>
      </c>
      <c r="M34" s="145">
        <f>H39-C39</f>
        <v>0</v>
      </c>
      <c r="N34" s="145"/>
      <c r="O34" s="145">
        <f>L34-N34</f>
        <v>0</v>
      </c>
      <c r="P34" s="14"/>
    </row>
    <row r="35" spans="1:16" ht="29.25" customHeight="1">
      <c r="A35" s="147"/>
      <c r="B35" s="147"/>
      <c r="C35" s="36" t="s">
        <v>29</v>
      </c>
      <c r="D35" s="11">
        <v>0</v>
      </c>
      <c r="E35" s="16" t="s">
        <v>14</v>
      </c>
      <c r="F35" s="11">
        <v>0</v>
      </c>
      <c r="G35" s="145"/>
      <c r="H35" s="19" t="s">
        <v>29</v>
      </c>
      <c r="I35" s="11">
        <v>0</v>
      </c>
      <c r="J35" s="16" t="s">
        <v>14</v>
      </c>
      <c r="K35" s="11"/>
      <c r="L35" s="145"/>
      <c r="M35" s="145"/>
      <c r="N35" s="145"/>
      <c r="O35" s="145"/>
      <c r="P35" s="14"/>
    </row>
    <row r="36" spans="1:16" ht="20.25" customHeight="1">
      <c r="A36" s="147"/>
      <c r="B36" s="147"/>
      <c r="C36" s="18" t="s">
        <v>16</v>
      </c>
      <c r="D36" s="11">
        <v>0</v>
      </c>
      <c r="E36" s="11" t="s">
        <v>99</v>
      </c>
      <c r="F36" s="11">
        <v>39966.66</v>
      </c>
      <c r="G36" s="145"/>
      <c r="H36" s="18" t="s">
        <v>16</v>
      </c>
      <c r="I36" s="11">
        <f>(I34+I35)*65%</f>
        <v>0</v>
      </c>
      <c r="J36" s="11" t="s">
        <v>99</v>
      </c>
      <c r="K36" s="11">
        <v>39966.66</v>
      </c>
      <c r="L36" s="145"/>
      <c r="M36" s="145"/>
      <c r="N36" s="145"/>
      <c r="O36" s="145"/>
      <c r="P36" s="14"/>
    </row>
    <row r="37" spans="1:16" ht="18.75" customHeight="1">
      <c r="A37" s="147"/>
      <c r="B37" s="147"/>
      <c r="C37" s="38" t="s">
        <v>105</v>
      </c>
      <c r="D37" s="11">
        <v>45938.66</v>
      </c>
      <c r="E37" s="11"/>
      <c r="F37" s="11"/>
      <c r="G37" s="145"/>
      <c r="H37" s="38" t="s">
        <v>105</v>
      </c>
      <c r="I37" s="11">
        <v>45938.66</v>
      </c>
      <c r="J37" s="39" t="s">
        <v>100</v>
      </c>
      <c r="K37" s="11"/>
      <c r="L37" s="145"/>
      <c r="M37" s="145"/>
      <c r="N37" s="145"/>
      <c r="O37" s="145"/>
      <c r="P37" s="14"/>
    </row>
    <row r="38" spans="1:16" ht="12" customHeight="1" hidden="1">
      <c r="A38" s="147"/>
      <c r="B38" s="147"/>
      <c r="C38" s="18"/>
      <c r="D38" s="11">
        <v>0</v>
      </c>
      <c r="E38" s="11"/>
      <c r="F38" s="11"/>
      <c r="G38" s="145"/>
      <c r="H38" s="18"/>
      <c r="I38" s="11"/>
      <c r="J38" s="17"/>
      <c r="K38" s="11"/>
      <c r="L38" s="145"/>
      <c r="M38" s="145"/>
      <c r="N38" s="145"/>
      <c r="O38" s="145"/>
      <c r="P38" s="14"/>
    </row>
    <row r="39" spans="1:16" ht="13.5" customHeight="1">
      <c r="A39" s="146" t="s">
        <v>19</v>
      </c>
      <c r="B39" s="146"/>
      <c r="C39" s="145">
        <f>D34+D35+D36+D37+D38</f>
        <v>45938.66</v>
      </c>
      <c r="D39" s="145"/>
      <c r="E39" s="145">
        <f>F34+F35+F36</f>
        <v>45938.66</v>
      </c>
      <c r="F39" s="145"/>
      <c r="G39" s="145"/>
      <c r="H39" s="145">
        <f>I34+I35+I36+I37+I38</f>
        <v>45938.66</v>
      </c>
      <c r="I39" s="145"/>
      <c r="J39" s="145">
        <f>K34+K35+K36</f>
        <v>45938.66</v>
      </c>
      <c r="K39" s="145"/>
      <c r="L39" s="145"/>
      <c r="M39" s="145"/>
      <c r="N39" s="145"/>
      <c r="O39" s="145"/>
      <c r="P39" s="14"/>
    </row>
    <row r="40" spans="1:17" ht="13.5" customHeight="1">
      <c r="A40" s="154" t="s">
        <v>106</v>
      </c>
      <c r="B40" s="154"/>
      <c r="C40" s="10" t="s">
        <v>21</v>
      </c>
      <c r="D40" s="11">
        <v>1818.18</v>
      </c>
      <c r="E40" s="11" t="s">
        <v>13</v>
      </c>
      <c r="F40" s="11">
        <v>504</v>
      </c>
      <c r="G40" s="145">
        <f>C43-E43</f>
        <v>3373.4799999999996</v>
      </c>
      <c r="H40" s="10" t="s">
        <v>93</v>
      </c>
      <c r="I40" s="11">
        <v>1818.18</v>
      </c>
      <c r="J40" s="11" t="s">
        <v>13</v>
      </c>
      <c r="K40" s="11">
        <v>499</v>
      </c>
      <c r="L40" s="145">
        <f>H43-J43</f>
        <v>3338.6000000000004</v>
      </c>
      <c r="M40" s="145">
        <f>H43-C43</f>
        <v>-39.8799999999992</v>
      </c>
      <c r="N40" s="145">
        <v>3373.48</v>
      </c>
      <c r="O40" s="145">
        <f>L40-N40</f>
        <v>-34.879999999999654</v>
      </c>
      <c r="P40" s="14" t="s">
        <v>107</v>
      </c>
      <c r="Q40" t="s">
        <v>94</v>
      </c>
    </row>
    <row r="41" spans="1:16" ht="28.5" customHeight="1">
      <c r="A41" s="154"/>
      <c r="B41" s="154"/>
      <c r="C41" s="18" t="s">
        <v>27</v>
      </c>
      <c r="D41" s="11">
        <v>531.81</v>
      </c>
      <c r="E41" s="16" t="s">
        <v>14</v>
      </c>
      <c r="F41" s="11"/>
      <c r="G41" s="145"/>
      <c r="H41" s="18" t="s">
        <v>27</v>
      </c>
      <c r="I41" s="11">
        <v>507.64</v>
      </c>
      <c r="J41" s="16" t="s">
        <v>14</v>
      </c>
      <c r="K41" s="11"/>
      <c r="L41" s="145"/>
      <c r="M41" s="145"/>
      <c r="N41" s="145"/>
      <c r="O41" s="145"/>
      <c r="P41" s="14"/>
    </row>
    <row r="42" spans="1:16" ht="18" customHeight="1">
      <c r="A42" s="154"/>
      <c r="B42" s="154"/>
      <c r="C42" s="18" t="s">
        <v>16</v>
      </c>
      <c r="D42" s="11">
        <v>1527.49</v>
      </c>
      <c r="E42" s="11"/>
      <c r="F42" s="11"/>
      <c r="G42" s="145"/>
      <c r="H42" s="18" t="s">
        <v>16</v>
      </c>
      <c r="I42" s="11">
        <v>1511.78</v>
      </c>
      <c r="J42" s="11"/>
      <c r="K42" s="11"/>
      <c r="L42" s="145"/>
      <c r="M42" s="145"/>
      <c r="N42" s="145"/>
      <c r="O42" s="145"/>
      <c r="P42" s="14"/>
    </row>
    <row r="43" spans="1:16" ht="13.5" customHeight="1">
      <c r="A43" s="146" t="s">
        <v>19</v>
      </c>
      <c r="B43" s="146"/>
      <c r="C43" s="145">
        <f>D40+D41+D42</f>
        <v>3877.4799999999996</v>
      </c>
      <c r="D43" s="145"/>
      <c r="E43" s="145">
        <f>F40+F41+F42</f>
        <v>504</v>
      </c>
      <c r="F43" s="145"/>
      <c r="G43" s="145"/>
      <c r="H43" s="145">
        <f>I40+I41+I42</f>
        <v>3837.6000000000004</v>
      </c>
      <c r="I43" s="145"/>
      <c r="J43" s="145">
        <f>K40+K41+K42</f>
        <v>499</v>
      </c>
      <c r="K43" s="145"/>
      <c r="L43" s="145"/>
      <c r="M43" s="145"/>
      <c r="N43" s="145"/>
      <c r="O43" s="145"/>
      <c r="P43" s="14"/>
    </row>
    <row r="44" spans="1:16" ht="20.25" customHeight="1">
      <c r="A44" s="144" t="s">
        <v>54</v>
      </c>
      <c r="B44" s="144"/>
      <c r="C44" s="145">
        <f>C16+C26+C33+C39+C43</f>
        <v>177255.23</v>
      </c>
      <c r="D44" s="145"/>
      <c r="E44" s="145">
        <f>E16+E26+E33+E39+E43</f>
        <v>164900.03999999998</v>
      </c>
      <c r="F44" s="145"/>
      <c r="G44" s="12">
        <f>SUM(G9:G43)</f>
        <v>12355.190000000006</v>
      </c>
      <c r="H44" s="145">
        <f>H16+H26+H33+H39+H43</f>
        <v>177215.34900000002</v>
      </c>
      <c r="I44" s="145"/>
      <c r="J44" s="145">
        <f>J16+J26+J33+J39+J43</f>
        <v>164895.03999999998</v>
      </c>
      <c r="K44" s="145"/>
      <c r="L44" s="12">
        <f>L9+L17+L27+L34+L40</f>
        <v>12320.309000000003</v>
      </c>
      <c r="M44" s="12">
        <f>SUM(M9:M43)</f>
        <v>-39.88100000000304</v>
      </c>
      <c r="N44" s="12">
        <f>SUM(N9:N43)</f>
        <v>12355.19</v>
      </c>
      <c r="O44" s="12">
        <f>SUM(O9:O39)</f>
        <v>-0.0010000000003174137</v>
      </c>
      <c r="P44" s="14"/>
    </row>
    <row r="45" spans="5:13" ht="21" customHeight="1">
      <c r="E45" s="20"/>
      <c r="F45" s="21"/>
      <c r="G45" s="21"/>
      <c r="H45" s="21"/>
      <c r="I45" s="21"/>
      <c r="J45" s="21"/>
      <c r="K45" s="21"/>
      <c r="L45" s="21"/>
      <c r="M45" s="21"/>
    </row>
    <row r="46" spans="1:13" ht="69.75" customHeight="1">
      <c r="A46" s="22"/>
      <c r="B46" s="23" t="s">
        <v>31</v>
      </c>
      <c r="C46" s="23" t="s">
        <v>32</v>
      </c>
      <c r="D46" s="24" t="s">
        <v>33</v>
      </c>
      <c r="E46" s="25" t="s">
        <v>34</v>
      </c>
      <c r="F46" s="21"/>
      <c r="G46" s="21"/>
      <c r="H46" s="21"/>
      <c r="I46" s="21"/>
      <c r="J46" s="21"/>
      <c r="K46" s="21"/>
      <c r="L46" s="21"/>
      <c r="M46" s="21"/>
    </row>
    <row r="47" spans="1:13" ht="16.5" customHeight="1">
      <c r="A47" s="22" t="s">
        <v>35</v>
      </c>
      <c r="B47" s="22">
        <f>C16-F9</f>
        <v>18147.300000000003</v>
      </c>
      <c r="C47" s="22">
        <f>K10+N9</f>
        <v>13147.3</v>
      </c>
      <c r="D47" s="25">
        <f>H16-K9</f>
        <v>18147.300000000003</v>
      </c>
      <c r="E47" s="26">
        <f>D47-C47</f>
        <v>5000.000000000004</v>
      </c>
      <c r="F47" s="21"/>
      <c r="G47" s="21"/>
      <c r="H47" s="21"/>
      <c r="I47" s="21"/>
      <c r="J47" s="21">
        <f>K10+K19+K29+K36+N44</f>
        <v>149393.23</v>
      </c>
      <c r="K47" s="21"/>
      <c r="L47" s="21"/>
      <c r="M47" s="21"/>
    </row>
    <row r="48" spans="1:13" ht="15.75" customHeight="1">
      <c r="A48" s="22" t="s">
        <v>36</v>
      </c>
      <c r="B48" s="22">
        <f>C26-F17</f>
        <v>59560.990000000005</v>
      </c>
      <c r="C48" s="22">
        <f>K18+N17</f>
        <v>0</v>
      </c>
      <c r="D48" s="25">
        <f>H26-K17</f>
        <v>59560.990000000005</v>
      </c>
      <c r="E48" s="26">
        <f>D48-C48</f>
        <v>59560.990000000005</v>
      </c>
      <c r="F48" s="21"/>
      <c r="G48" s="21"/>
      <c r="H48" s="21"/>
      <c r="I48" s="21"/>
      <c r="J48" s="21"/>
      <c r="K48" s="21"/>
      <c r="L48" s="21"/>
      <c r="M48" s="21"/>
    </row>
    <row r="49" spans="1:13" ht="14.25" customHeight="1">
      <c r="A49" s="22" t="s">
        <v>37</v>
      </c>
      <c r="B49" s="22">
        <f>C33-F27</f>
        <v>33344.8</v>
      </c>
      <c r="C49" s="22">
        <f>K28+N27</f>
        <v>834.41</v>
      </c>
      <c r="D49" s="25">
        <f>H33-K27</f>
        <v>33344.799</v>
      </c>
      <c r="E49" s="26">
        <f>D49-C49</f>
        <v>32510.389</v>
      </c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2" t="s">
        <v>38</v>
      </c>
      <c r="B50" s="22">
        <f>C39-F34</f>
        <v>39966.66</v>
      </c>
      <c r="C50" s="22">
        <f>K35+N34</f>
        <v>0</v>
      </c>
      <c r="D50" s="25">
        <f>H39-K34</f>
        <v>39966.66</v>
      </c>
      <c r="E50" s="26">
        <f>D50-C50</f>
        <v>39966.66</v>
      </c>
      <c r="F50" s="21"/>
      <c r="G50" s="21"/>
      <c r="H50" s="21"/>
      <c r="I50" s="21"/>
      <c r="J50" s="21"/>
      <c r="K50" s="21"/>
      <c r="L50" s="21"/>
      <c r="M50" s="21"/>
    </row>
    <row r="51" spans="1:13" ht="15.75" customHeight="1">
      <c r="A51" s="22" t="s">
        <v>39</v>
      </c>
      <c r="B51" s="22">
        <f>B47+B48+B49+B50</f>
        <v>151019.75</v>
      </c>
      <c r="C51" s="22">
        <f>C47+C48+C49+C50</f>
        <v>13981.71</v>
      </c>
      <c r="D51" s="25">
        <f>SUM(D47:D50)</f>
        <v>151019.749</v>
      </c>
      <c r="E51" s="26">
        <f>D51-C51</f>
        <v>137038.03900000002</v>
      </c>
      <c r="F51" s="27"/>
      <c r="G51" s="21"/>
      <c r="H51" s="21"/>
      <c r="I51" s="21"/>
      <c r="J51" s="21"/>
      <c r="K51" s="21"/>
      <c r="L51" s="21"/>
      <c r="M51" s="21"/>
    </row>
    <row r="52" spans="1:13" ht="15.75" customHeight="1">
      <c r="A52" s="28"/>
      <c r="B52" s="28"/>
      <c r="C52" s="28"/>
      <c r="D52" s="28"/>
      <c r="E52" s="25"/>
      <c r="F52" s="21"/>
      <c r="G52" s="21"/>
      <c r="H52" s="21"/>
      <c r="I52" s="21"/>
      <c r="J52" s="21"/>
      <c r="K52" s="21"/>
      <c r="L52" s="21"/>
      <c r="M52" s="21"/>
    </row>
    <row r="53" spans="1:13" ht="19.5" customHeight="1">
      <c r="A53" s="141" t="s">
        <v>40</v>
      </c>
      <c r="B53" s="141"/>
      <c r="C53" s="141"/>
      <c r="D53" s="141"/>
      <c r="E53" s="141"/>
      <c r="F53" s="21"/>
      <c r="G53" s="21"/>
      <c r="H53" s="21"/>
      <c r="I53" s="21"/>
      <c r="J53" s="21"/>
      <c r="K53" s="21"/>
      <c r="L53" s="21"/>
      <c r="M53" s="21"/>
    </row>
    <row r="54" spans="1:5" ht="24">
      <c r="A54" s="29" t="s">
        <v>41</v>
      </c>
      <c r="B54" s="23" t="s">
        <v>42</v>
      </c>
      <c r="C54" s="23" t="s">
        <v>43</v>
      </c>
      <c r="D54" s="23" t="s">
        <v>44</v>
      </c>
      <c r="E54" s="23" t="s">
        <v>34</v>
      </c>
    </row>
    <row r="55" spans="1:5" ht="15">
      <c r="A55" s="29">
        <v>111</v>
      </c>
      <c r="B55" s="22" t="s">
        <v>13</v>
      </c>
      <c r="C55" s="22">
        <f>F9+F17+F27+F34+F40</f>
        <v>22862</v>
      </c>
      <c r="D55" s="22">
        <f>K9+K17+K27+K34+K40</f>
        <v>22857</v>
      </c>
      <c r="E55" s="22">
        <f aca="true" t="shared" si="0" ref="E55:E62">D55-C55</f>
        <v>-5</v>
      </c>
    </row>
    <row r="56" spans="1:5" ht="15">
      <c r="A56" s="142" t="s">
        <v>39</v>
      </c>
      <c r="B56" s="142"/>
      <c r="C56" s="29">
        <f>SUM(C55:C55)</f>
        <v>22862</v>
      </c>
      <c r="D56" s="29">
        <f>SUM(D55:D55)</f>
        <v>22857</v>
      </c>
      <c r="E56" s="22">
        <f t="shared" si="0"/>
        <v>-5</v>
      </c>
    </row>
    <row r="57" spans="1:7" ht="15">
      <c r="A57" s="29">
        <v>119</v>
      </c>
      <c r="B57" s="30">
        <v>0.22</v>
      </c>
      <c r="C57" s="22">
        <f>38996.17-12475.9</f>
        <v>26520.269999999997</v>
      </c>
      <c r="D57" s="22">
        <f>H44*22%</f>
        <v>38987.376780000006</v>
      </c>
      <c r="E57" s="22">
        <f t="shared" si="0"/>
        <v>12467.10678000001</v>
      </c>
      <c r="F57" s="31"/>
      <c r="G57" s="14"/>
    </row>
    <row r="58" spans="1:7" ht="15">
      <c r="A58" s="29">
        <v>119</v>
      </c>
      <c r="B58" s="30">
        <v>0.029</v>
      </c>
      <c r="C58" s="22">
        <f>5140.41+1861.9</f>
        <v>7002.3099999999995</v>
      </c>
      <c r="D58" s="22">
        <f>H44*2.9%</f>
        <v>5139.245121</v>
      </c>
      <c r="E58" s="22">
        <f t="shared" si="0"/>
        <v>-1863.0648789999996</v>
      </c>
      <c r="F58" s="31"/>
      <c r="G58" s="14"/>
    </row>
    <row r="59" spans="1:7" ht="15">
      <c r="A59" s="29">
        <v>119</v>
      </c>
      <c r="B59" s="30">
        <v>0.051</v>
      </c>
      <c r="C59" s="22">
        <f>9040.01-19460.61</f>
        <v>-10420.6</v>
      </c>
      <c r="D59" s="22">
        <f>H44*5.1%</f>
        <v>9037.982799</v>
      </c>
      <c r="E59" s="22">
        <f t="shared" si="0"/>
        <v>19458.582799</v>
      </c>
      <c r="F59" s="31"/>
      <c r="G59" s="14"/>
    </row>
    <row r="60" spans="1:7" ht="15">
      <c r="A60" s="29">
        <v>119</v>
      </c>
      <c r="B60" s="30">
        <v>0.002</v>
      </c>
      <c r="C60" s="22">
        <f>354.51+10.06</f>
        <v>364.57</v>
      </c>
      <c r="D60" s="22">
        <f>H44*0.2%</f>
        <v>354.43069800000006</v>
      </c>
      <c r="E60" s="22">
        <f t="shared" si="0"/>
        <v>-10.13930199999993</v>
      </c>
      <c r="F60" s="31"/>
      <c r="G60" s="14"/>
    </row>
    <row r="61" spans="1:7" ht="15">
      <c r="A61" s="143" t="s">
        <v>39</v>
      </c>
      <c r="B61" s="143"/>
      <c r="C61" s="32">
        <f>SUM(C57:C60)</f>
        <v>23466.549999999996</v>
      </c>
      <c r="D61" s="32">
        <f>SUM(D57:D60)</f>
        <v>53519.035398</v>
      </c>
      <c r="E61" s="22">
        <f t="shared" si="0"/>
        <v>30052.485398000004</v>
      </c>
      <c r="F61" s="33"/>
      <c r="G61" s="33"/>
    </row>
    <row r="62" spans="1:5" ht="15">
      <c r="A62" s="142" t="s">
        <v>45</v>
      </c>
      <c r="B62" s="142"/>
      <c r="C62" s="29">
        <f>C56+C61</f>
        <v>46328.549999999996</v>
      </c>
      <c r="D62" s="29">
        <f>D56+D61</f>
        <v>76376.035398</v>
      </c>
      <c r="E62" s="22">
        <f t="shared" si="0"/>
        <v>30047.48539800001</v>
      </c>
    </row>
  </sheetData>
  <sheetProtection/>
  <mergeCells count="79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N9:N16"/>
    <mergeCell ref="O9:O16"/>
    <mergeCell ref="A16:B16"/>
    <mergeCell ref="C16:D16"/>
    <mergeCell ref="E16:F16"/>
    <mergeCell ref="H16:I16"/>
    <mergeCell ref="J16:K16"/>
    <mergeCell ref="J26:K26"/>
    <mergeCell ref="A17:B25"/>
    <mergeCell ref="G17:G26"/>
    <mergeCell ref="L17:L26"/>
    <mergeCell ref="M17:M26"/>
    <mergeCell ref="N17:N26"/>
    <mergeCell ref="A27:B32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G34:G39"/>
    <mergeCell ref="L34:L39"/>
    <mergeCell ref="M34:M39"/>
    <mergeCell ref="N34:N39"/>
    <mergeCell ref="O27:O33"/>
    <mergeCell ref="A33:B33"/>
    <mergeCell ref="C33:D33"/>
    <mergeCell ref="E33:F33"/>
    <mergeCell ref="H33:I33"/>
    <mergeCell ref="J33:K33"/>
    <mergeCell ref="L40:L43"/>
    <mergeCell ref="M40:M43"/>
    <mergeCell ref="N40:N43"/>
    <mergeCell ref="O34:O39"/>
    <mergeCell ref="A39:B39"/>
    <mergeCell ref="C39:D39"/>
    <mergeCell ref="E39:F39"/>
    <mergeCell ref="H39:I39"/>
    <mergeCell ref="J39:K39"/>
    <mergeCell ref="A34:B38"/>
    <mergeCell ref="H44:I44"/>
    <mergeCell ref="J44:K44"/>
    <mergeCell ref="O40:O43"/>
    <mergeCell ref="A43:B43"/>
    <mergeCell ref="C43:D43"/>
    <mergeCell ref="E43:F43"/>
    <mergeCell ref="H43:I43"/>
    <mergeCell ref="J43:K43"/>
    <mergeCell ref="A40:B42"/>
    <mergeCell ref="G40:G43"/>
    <mergeCell ref="A53:E53"/>
    <mergeCell ref="A56:B56"/>
    <mergeCell ref="A61:B61"/>
    <mergeCell ref="A62:B62"/>
    <mergeCell ref="A44:B44"/>
    <mergeCell ref="C44:D44"/>
    <mergeCell ref="E44:F44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O2" sqref="O2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108</v>
      </c>
    </row>
    <row r="2" spans="1:15" ht="8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9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109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67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8147.300000000003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8147.300000000003</v>
      </c>
      <c r="M9" s="145">
        <f>H16-C16</f>
        <v>0</v>
      </c>
      <c r="N9" s="145">
        <v>8147.3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5000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5000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12712</v>
      </c>
      <c r="F16" s="145"/>
      <c r="G16" s="145"/>
      <c r="H16" s="145">
        <f>I9+I10+I11+I12+I13+I14+I15</f>
        <v>20859.300000000003</v>
      </c>
      <c r="I16" s="145"/>
      <c r="J16" s="145">
        <f>K9+K10+K11+K12</f>
        <v>12712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110</v>
      </c>
      <c r="B17" s="147"/>
      <c r="C17" s="10" t="s">
        <v>21</v>
      </c>
      <c r="D17" s="11">
        <v>6285.71</v>
      </c>
      <c r="E17" s="11" t="s">
        <v>13</v>
      </c>
      <c r="F17" s="11">
        <v>2750</v>
      </c>
      <c r="G17" s="145">
        <f>C26-E26</f>
        <v>18406.663</v>
      </c>
      <c r="H17" s="10" t="s">
        <v>21</v>
      </c>
      <c r="I17" s="11">
        <v>6285.71</v>
      </c>
      <c r="J17" s="11" t="s">
        <v>13</v>
      </c>
      <c r="K17" s="17">
        <v>2567</v>
      </c>
      <c r="L17" s="145">
        <f>H26-J26</f>
        <v>18580.3284385</v>
      </c>
      <c r="M17" s="145">
        <f>H26-C26</f>
        <v>-9.334561499999836</v>
      </c>
      <c r="N17" s="145">
        <v>18406.66</v>
      </c>
      <c r="O17" s="145">
        <f>L17-N17</f>
        <v>173.66843850000078</v>
      </c>
      <c r="P17" s="14"/>
    </row>
    <row r="18" spans="1:16" ht="36">
      <c r="A18" s="147"/>
      <c r="B18" s="147"/>
      <c r="C18" s="15" t="s">
        <v>22</v>
      </c>
      <c r="D18" s="11">
        <f>D17*30%</f>
        <v>1885.713</v>
      </c>
      <c r="E18" s="16" t="s">
        <v>14</v>
      </c>
      <c r="F18" s="11"/>
      <c r="G18" s="145"/>
      <c r="H18" s="15" t="s">
        <v>22</v>
      </c>
      <c r="I18" s="11">
        <f>I17*30%</f>
        <v>1885.713</v>
      </c>
      <c r="J18" s="16" t="s">
        <v>14</v>
      </c>
      <c r="K18" s="11"/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3814.8</v>
      </c>
      <c r="E19" s="11"/>
      <c r="F19" s="11"/>
      <c r="G19" s="145"/>
      <c r="H19" s="18" t="s">
        <v>23</v>
      </c>
      <c r="I19" s="11">
        <f>I17*60.6%</f>
        <v>3809.14026</v>
      </c>
      <c r="J19" s="11"/>
      <c r="K19" s="11"/>
      <c r="L19" s="145"/>
      <c r="M19" s="145"/>
      <c r="N19" s="145"/>
      <c r="O19" s="145"/>
      <c r="P19" s="14"/>
    </row>
    <row r="20" spans="1:16" ht="15">
      <c r="A20" s="147"/>
      <c r="B20" s="147"/>
      <c r="C20" s="18" t="s">
        <v>24</v>
      </c>
      <c r="D20" s="11">
        <v>836</v>
      </c>
      <c r="E20" s="11"/>
      <c r="F20" s="11"/>
      <c r="G20" s="145"/>
      <c r="H20" s="18" t="s">
        <v>24</v>
      </c>
      <c r="I20" s="11">
        <f>I17*13.3%</f>
        <v>835.9994300000001</v>
      </c>
      <c r="J20" s="17"/>
      <c r="K20" s="11"/>
      <c r="L20" s="145"/>
      <c r="M20" s="145"/>
      <c r="N20" s="145"/>
      <c r="O20" s="145"/>
      <c r="P20" s="14">
        <f>F18+G17-K18-N17</f>
        <v>0.0030000000006111804</v>
      </c>
    </row>
    <row r="21" spans="1:16" ht="15">
      <c r="A21" s="147"/>
      <c r="B21" s="147"/>
      <c r="C21" s="18"/>
      <c r="D21" s="11">
        <v>0</v>
      </c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8334.44</v>
      </c>
      <c r="E22" s="11"/>
      <c r="F22" s="11"/>
      <c r="G22" s="145"/>
      <c r="H22" s="18" t="s">
        <v>16</v>
      </c>
      <c r="I22" s="11">
        <f>(I17+I18+I19+I20+I21)*65%</f>
        <v>8330.7657485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21156.663</v>
      </c>
      <c r="D26" s="145"/>
      <c r="E26" s="145">
        <f>F17+F18+F19</f>
        <v>2750</v>
      </c>
      <c r="F26" s="145"/>
      <c r="G26" s="145"/>
      <c r="H26" s="145">
        <f>SUM(I17:I25)</f>
        <v>21147.3284385</v>
      </c>
      <c r="I26" s="145"/>
      <c r="J26" s="145">
        <f>K17+K18+K19</f>
        <v>2567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111</v>
      </c>
      <c r="B27" s="147"/>
      <c r="C27" s="10" t="s">
        <v>21</v>
      </c>
      <c r="D27" s="11">
        <v>3181.82</v>
      </c>
      <c r="E27" s="11" t="s">
        <v>13</v>
      </c>
      <c r="F27" s="17">
        <v>873</v>
      </c>
      <c r="G27" s="145">
        <f>C33-E33</f>
        <v>5842.8</v>
      </c>
      <c r="H27" s="10" t="s">
        <v>21</v>
      </c>
      <c r="I27" s="11">
        <v>3181.82</v>
      </c>
      <c r="J27" s="11" t="s">
        <v>13</v>
      </c>
      <c r="K27" s="11">
        <v>873</v>
      </c>
      <c r="L27" s="145">
        <f>H33-J33</f>
        <v>5842.7970000000005</v>
      </c>
      <c r="M27" s="145">
        <f>H33-C33</f>
        <v>-0.0029999999997016857</v>
      </c>
      <c r="N27" s="145">
        <v>5842.8</v>
      </c>
      <c r="O27" s="145">
        <f>L27-N27</f>
        <v>-0.0029999999997016857</v>
      </c>
      <c r="P27" s="14"/>
    </row>
    <row r="28" spans="1:16" ht="36">
      <c r="A28" s="147"/>
      <c r="B28" s="147"/>
      <c r="C28" s="18" t="s">
        <v>27</v>
      </c>
      <c r="D28" s="11">
        <v>888.36</v>
      </c>
      <c r="E28" s="16" t="s">
        <v>14</v>
      </c>
      <c r="F28" s="11">
        <v>0</v>
      </c>
      <c r="G28" s="145"/>
      <c r="H28" s="18" t="s">
        <v>27</v>
      </c>
      <c r="I28" s="11">
        <v>888.36</v>
      </c>
      <c r="J28" s="16" t="s">
        <v>14</v>
      </c>
      <c r="K28" s="11"/>
      <c r="L28" s="145"/>
      <c r="M28" s="145"/>
      <c r="N28" s="145"/>
      <c r="O28" s="145"/>
      <c r="P28" s="14"/>
    </row>
    <row r="29" spans="1:16" ht="7.5" customHeight="1" hidden="1">
      <c r="A29" s="147"/>
      <c r="B29" s="147"/>
      <c r="C29" s="10"/>
      <c r="D29" s="11"/>
      <c r="E29" s="11"/>
      <c r="F29" s="11"/>
      <c r="G29" s="145"/>
      <c r="H29" s="10"/>
      <c r="I29" s="11"/>
      <c r="J29" s="11"/>
      <c r="K29" s="11"/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2645.62</v>
      </c>
      <c r="E30" s="11"/>
      <c r="F30" s="11"/>
      <c r="G30" s="145"/>
      <c r="H30" s="18" t="s">
        <v>16</v>
      </c>
      <c r="I30" s="11">
        <f>(I29+I27+I28)*65%</f>
        <v>2645.617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6715.8</v>
      </c>
      <c r="D33" s="145"/>
      <c r="E33" s="145">
        <f>F27+F28+F29+F30</f>
        <v>873</v>
      </c>
      <c r="F33" s="145"/>
      <c r="G33" s="145"/>
      <c r="H33" s="145">
        <f>I27+I28+I30+I31+I29</f>
        <v>6715.7970000000005</v>
      </c>
      <c r="I33" s="145"/>
      <c r="J33" s="145">
        <f>K27+K28+K29+K30</f>
        <v>873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112</v>
      </c>
      <c r="B34" s="147"/>
      <c r="C34" s="10" t="s">
        <v>21</v>
      </c>
      <c r="D34" s="11">
        <v>7933.91</v>
      </c>
      <c r="E34" s="11" t="s">
        <v>13</v>
      </c>
      <c r="F34" s="17">
        <v>1844</v>
      </c>
      <c r="G34" s="145">
        <f>C39-E39</f>
        <v>12337.869999999999</v>
      </c>
      <c r="H34" s="10" t="s">
        <v>21</v>
      </c>
      <c r="I34" s="11">
        <v>7933.91</v>
      </c>
      <c r="J34" s="11" t="s">
        <v>13</v>
      </c>
      <c r="K34" s="11">
        <v>1844</v>
      </c>
      <c r="L34" s="145">
        <f>H39-J39</f>
        <v>12337.8655</v>
      </c>
      <c r="M34" s="145">
        <f>H39-C39</f>
        <v>-0.004499999999097781</v>
      </c>
      <c r="N34" s="145">
        <v>12337.87</v>
      </c>
      <c r="O34" s="145">
        <f>L34-N34</f>
        <v>-0.004500000000916771</v>
      </c>
      <c r="P34" s="14"/>
    </row>
    <row r="35" spans="1:16" ht="29.25" customHeight="1">
      <c r="A35" s="147"/>
      <c r="B35" s="147"/>
      <c r="C35" s="36" t="s">
        <v>29</v>
      </c>
      <c r="D35" s="11">
        <v>661.16</v>
      </c>
      <c r="E35" s="16" t="s">
        <v>14</v>
      </c>
      <c r="F35" s="11">
        <v>0</v>
      </c>
      <c r="G35" s="145"/>
      <c r="H35" s="19" t="s">
        <v>29</v>
      </c>
      <c r="I35" s="11">
        <v>661.16</v>
      </c>
      <c r="J35" s="16" t="s">
        <v>14</v>
      </c>
      <c r="K35" s="11"/>
      <c r="L35" s="145"/>
      <c r="M35" s="145"/>
      <c r="N35" s="145"/>
      <c r="O35" s="145"/>
      <c r="P35" s="14"/>
    </row>
    <row r="36" spans="1:16" ht="15" customHeight="1" hidden="1">
      <c r="A36" s="147"/>
      <c r="B36" s="147"/>
      <c r="C36" s="38"/>
      <c r="D36" s="11"/>
      <c r="E36" s="11"/>
      <c r="F36" s="11"/>
      <c r="G36" s="145"/>
      <c r="H36" s="38"/>
      <c r="I36" s="11"/>
      <c r="J36" s="11"/>
      <c r="K36" s="11"/>
      <c r="L36" s="145"/>
      <c r="M36" s="145"/>
      <c r="N36" s="145"/>
      <c r="O36" s="145"/>
      <c r="P36" s="14"/>
    </row>
    <row r="37" spans="1:16" ht="15" customHeight="1" hidden="1">
      <c r="A37" s="147"/>
      <c r="B37" s="147"/>
      <c r="C37" s="38"/>
      <c r="D37" s="11"/>
      <c r="E37" s="11"/>
      <c r="F37" s="11"/>
      <c r="G37" s="145"/>
      <c r="H37" s="10"/>
      <c r="I37" s="11"/>
      <c r="J37" s="16"/>
      <c r="K37" s="11"/>
      <c r="L37" s="145"/>
      <c r="M37" s="145"/>
      <c r="N37" s="145"/>
      <c r="O37" s="145"/>
      <c r="P37" s="14"/>
    </row>
    <row r="38" spans="1:16" ht="18" customHeight="1">
      <c r="A38" s="147"/>
      <c r="B38" s="147"/>
      <c r="C38" s="18" t="s">
        <v>16</v>
      </c>
      <c r="D38" s="11">
        <v>5586.8</v>
      </c>
      <c r="E38" s="11"/>
      <c r="F38" s="11"/>
      <c r="G38" s="145"/>
      <c r="H38" s="18" t="s">
        <v>16</v>
      </c>
      <c r="I38" s="11">
        <f>(I34+I35+I36)*65%</f>
        <v>5586.7955</v>
      </c>
      <c r="J38" s="17"/>
      <c r="K38" s="11"/>
      <c r="L38" s="145"/>
      <c r="M38" s="145"/>
      <c r="N38" s="145"/>
      <c r="O38" s="145"/>
      <c r="P38" s="14"/>
    </row>
    <row r="39" spans="1:16" ht="13.5" customHeight="1">
      <c r="A39" s="146" t="s">
        <v>19</v>
      </c>
      <c r="B39" s="146"/>
      <c r="C39" s="145">
        <f>D34+D35+D36+D37+D38</f>
        <v>14181.869999999999</v>
      </c>
      <c r="D39" s="145"/>
      <c r="E39" s="145">
        <f>F34+F35+F36</f>
        <v>1844</v>
      </c>
      <c r="F39" s="145"/>
      <c r="G39" s="145"/>
      <c r="H39" s="145">
        <f>I34+I35+I36+I38</f>
        <v>14181.8655</v>
      </c>
      <c r="I39" s="145"/>
      <c r="J39" s="145">
        <f>K34+K35+K36</f>
        <v>1844</v>
      </c>
      <c r="K39" s="145"/>
      <c r="L39" s="145"/>
      <c r="M39" s="145"/>
      <c r="N39" s="145"/>
      <c r="O39" s="145"/>
      <c r="P39" s="14"/>
    </row>
    <row r="40" spans="1:17" ht="13.5" customHeight="1">
      <c r="A40" s="154" t="s">
        <v>113</v>
      </c>
      <c r="B40" s="154"/>
      <c r="C40" s="10" t="s">
        <v>21</v>
      </c>
      <c r="D40" s="11">
        <v>0</v>
      </c>
      <c r="E40" s="11" t="s">
        <v>13</v>
      </c>
      <c r="F40" s="11">
        <v>0</v>
      </c>
      <c r="G40" s="145">
        <f>C43-E43</f>
        <v>0</v>
      </c>
      <c r="H40" s="10" t="s">
        <v>93</v>
      </c>
      <c r="I40" s="11"/>
      <c r="J40" s="11" t="s">
        <v>13</v>
      </c>
      <c r="K40" s="11"/>
      <c r="L40" s="145">
        <f>H43-J43</f>
        <v>0</v>
      </c>
      <c r="M40" s="145">
        <f>H43-C43</f>
        <v>0</v>
      </c>
      <c r="N40" s="145"/>
      <c r="O40" s="145">
        <f>L40-N40</f>
        <v>0</v>
      </c>
      <c r="P40" s="14"/>
      <c r="Q40" t="s">
        <v>94</v>
      </c>
    </row>
    <row r="41" spans="1:16" ht="28.5" customHeight="1">
      <c r="A41" s="154"/>
      <c r="B41" s="154"/>
      <c r="C41" s="18" t="s">
        <v>27</v>
      </c>
      <c r="D41" s="11">
        <v>0</v>
      </c>
      <c r="E41" s="16" t="s">
        <v>14</v>
      </c>
      <c r="F41" s="11"/>
      <c r="G41" s="145"/>
      <c r="H41" s="18" t="s">
        <v>27</v>
      </c>
      <c r="I41" s="11"/>
      <c r="J41" s="16" t="s">
        <v>14</v>
      </c>
      <c r="K41" s="11"/>
      <c r="L41" s="145"/>
      <c r="M41" s="145"/>
      <c r="N41" s="145"/>
      <c r="O41" s="145"/>
      <c r="P41" s="14"/>
    </row>
    <row r="42" spans="1:16" ht="18" customHeight="1">
      <c r="A42" s="154"/>
      <c r="B42" s="154"/>
      <c r="C42" s="18" t="s">
        <v>16</v>
      </c>
      <c r="D42" s="11">
        <v>0</v>
      </c>
      <c r="E42" s="11"/>
      <c r="F42" s="11"/>
      <c r="G42" s="145"/>
      <c r="H42" s="18" t="s">
        <v>16</v>
      </c>
      <c r="I42" s="11"/>
      <c r="J42" s="11"/>
      <c r="K42" s="11"/>
      <c r="L42" s="145"/>
      <c r="M42" s="145"/>
      <c r="N42" s="145"/>
      <c r="O42" s="145"/>
      <c r="P42" s="14"/>
    </row>
    <row r="43" spans="1:16" ht="13.5" customHeight="1">
      <c r="A43" s="146" t="s">
        <v>19</v>
      </c>
      <c r="B43" s="146"/>
      <c r="C43" s="145">
        <f>D40+D41+D42</f>
        <v>0</v>
      </c>
      <c r="D43" s="145"/>
      <c r="E43" s="145">
        <f>F40+F41+F42</f>
        <v>0</v>
      </c>
      <c r="F43" s="145"/>
      <c r="G43" s="145"/>
      <c r="H43" s="145">
        <f>I40+I41+I42</f>
        <v>0</v>
      </c>
      <c r="I43" s="145"/>
      <c r="J43" s="145">
        <f>K40+K41+K42</f>
        <v>0</v>
      </c>
      <c r="K43" s="145"/>
      <c r="L43" s="145"/>
      <c r="M43" s="145"/>
      <c r="N43" s="145"/>
      <c r="O43" s="145"/>
      <c r="P43" s="14"/>
    </row>
    <row r="44" spans="1:16" ht="20.25" customHeight="1">
      <c r="A44" s="144" t="s">
        <v>54</v>
      </c>
      <c r="B44" s="144"/>
      <c r="C44" s="145">
        <f>C16+C26+C33+C39+C43</f>
        <v>62913.633</v>
      </c>
      <c r="D44" s="145"/>
      <c r="E44" s="145">
        <f>E16+E26+E33+E39+E43</f>
        <v>18179</v>
      </c>
      <c r="F44" s="145"/>
      <c r="G44" s="12">
        <f>SUM(G9:G43)</f>
        <v>44734.633</v>
      </c>
      <c r="H44" s="145">
        <f>H16+H26+H33+H39+H43</f>
        <v>62904.2909385</v>
      </c>
      <c r="I44" s="145"/>
      <c r="J44" s="145">
        <f>J16+J26+J33+J39+J43</f>
        <v>17996</v>
      </c>
      <c r="K44" s="145"/>
      <c r="L44" s="12">
        <f>L9+L17+L27+L34</f>
        <v>44908.2909385</v>
      </c>
      <c r="M44" s="12">
        <f>SUM(M9:M39)+M40</f>
        <v>-9.342061499998636</v>
      </c>
      <c r="N44" s="12">
        <f>SUM(N9:N39)</f>
        <v>44734.63</v>
      </c>
      <c r="O44" s="12">
        <f>SUM(O9:O39)</f>
        <v>173.66093850000016</v>
      </c>
      <c r="P44" s="14"/>
    </row>
    <row r="45" spans="4:13" ht="21" customHeight="1">
      <c r="D45">
        <f>D21+D29+D37</f>
        <v>0</v>
      </c>
      <c r="E45" s="20"/>
      <c r="F45" s="21"/>
      <c r="G45" s="21"/>
      <c r="H45" s="21"/>
      <c r="I45" s="21"/>
      <c r="J45" s="21"/>
      <c r="K45" s="21"/>
      <c r="L45" s="21"/>
      <c r="M45" s="21"/>
    </row>
    <row r="46" spans="1:13" ht="69.75" customHeight="1">
      <c r="A46" s="22"/>
      <c r="B46" s="23" t="s">
        <v>31</v>
      </c>
      <c r="C46" s="23" t="s">
        <v>32</v>
      </c>
      <c r="D46" s="24" t="s">
        <v>33</v>
      </c>
      <c r="E46" s="25" t="s">
        <v>34</v>
      </c>
      <c r="F46" s="21"/>
      <c r="G46" s="21"/>
      <c r="H46" s="21"/>
      <c r="I46" s="21"/>
      <c r="J46" s="21"/>
      <c r="K46" s="21"/>
      <c r="L46" s="21"/>
      <c r="M46" s="21"/>
    </row>
    <row r="47" spans="1:13" ht="16.5" customHeight="1">
      <c r="A47" s="22" t="s">
        <v>35</v>
      </c>
      <c r="B47" s="22">
        <f>C16-F9</f>
        <v>18147.300000000003</v>
      </c>
      <c r="C47" s="22">
        <f>K10+N9</f>
        <v>13147.3</v>
      </c>
      <c r="D47" s="25">
        <f>H16-K9</f>
        <v>18147.300000000003</v>
      </c>
      <c r="E47" s="26">
        <f>D47-C47</f>
        <v>5000.000000000004</v>
      </c>
      <c r="F47" s="21"/>
      <c r="G47" s="21"/>
      <c r="H47" s="21"/>
      <c r="I47" s="21">
        <f>K10+N44</f>
        <v>49734.63</v>
      </c>
      <c r="J47" s="21"/>
      <c r="K47" s="21"/>
      <c r="L47" s="21"/>
      <c r="M47" s="21"/>
    </row>
    <row r="48" spans="1:13" ht="15.75" customHeight="1">
      <c r="A48" s="22" t="s">
        <v>36</v>
      </c>
      <c r="B48" s="22">
        <f>C26-F17</f>
        <v>18406.663</v>
      </c>
      <c r="C48" s="22">
        <f>K18+N17</f>
        <v>18406.66</v>
      </c>
      <c r="D48" s="25">
        <f>H26-K17</f>
        <v>18580.3284385</v>
      </c>
      <c r="E48" s="26">
        <f>D48-C48</f>
        <v>173.66843850000078</v>
      </c>
      <c r="F48" s="21"/>
      <c r="G48" s="21"/>
      <c r="H48" s="21"/>
      <c r="I48" s="21"/>
      <c r="J48" s="21"/>
      <c r="K48" s="21"/>
      <c r="L48" s="21"/>
      <c r="M48" s="21"/>
    </row>
    <row r="49" spans="1:13" ht="14.25" customHeight="1">
      <c r="A49" s="22" t="s">
        <v>37</v>
      </c>
      <c r="B49" s="22">
        <f>C33-F27</f>
        <v>5842.8</v>
      </c>
      <c r="C49" s="22">
        <f>K28+N27</f>
        <v>5842.8</v>
      </c>
      <c r="D49" s="25">
        <f>H33-K27</f>
        <v>5842.7970000000005</v>
      </c>
      <c r="E49" s="26">
        <f>D49-C49</f>
        <v>-0.0029999999997016857</v>
      </c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2" t="s">
        <v>38</v>
      </c>
      <c r="B50" s="22">
        <f>C39-F34</f>
        <v>12337.869999999999</v>
      </c>
      <c r="C50" s="22">
        <f>K35+N34</f>
        <v>12337.87</v>
      </c>
      <c r="D50" s="25">
        <f>H39-K34</f>
        <v>12337.8655</v>
      </c>
      <c r="E50" s="26">
        <f>D50-C50</f>
        <v>-0.004500000000916771</v>
      </c>
      <c r="F50" s="21"/>
      <c r="G50" s="21"/>
      <c r="H50" s="21"/>
      <c r="I50" s="21"/>
      <c r="J50" s="21"/>
      <c r="K50" s="21"/>
      <c r="L50" s="21"/>
      <c r="M50" s="21"/>
    </row>
    <row r="51" spans="1:13" ht="15.75" customHeight="1">
      <c r="A51" s="22" t="s">
        <v>39</v>
      </c>
      <c r="B51" s="22">
        <f>B47+B48+B49+B50</f>
        <v>54734.633</v>
      </c>
      <c r="C51" s="22">
        <f>C47+C48+C49+C50</f>
        <v>49734.630000000005</v>
      </c>
      <c r="D51" s="25">
        <f>SUM(D47:D50)</f>
        <v>54908.2909385</v>
      </c>
      <c r="E51" s="26">
        <f>D51-C51</f>
        <v>5173.660938499997</v>
      </c>
      <c r="F51" s="27"/>
      <c r="G51" s="21"/>
      <c r="H51" s="21"/>
      <c r="I51" s="21"/>
      <c r="J51" s="21"/>
      <c r="K51" s="21"/>
      <c r="L51" s="21"/>
      <c r="M51" s="21"/>
    </row>
    <row r="52" spans="1:13" ht="15.75" customHeight="1">
      <c r="A52" s="28"/>
      <c r="B52" s="28"/>
      <c r="C52" s="28"/>
      <c r="D52" s="28"/>
      <c r="E52" s="25"/>
      <c r="F52" s="21"/>
      <c r="G52" s="21"/>
      <c r="H52" s="21"/>
      <c r="I52" s="21"/>
      <c r="J52" s="21"/>
      <c r="K52" s="21"/>
      <c r="L52" s="21"/>
      <c r="M52" s="21"/>
    </row>
    <row r="53" spans="1:13" ht="19.5" customHeight="1">
      <c r="A53" s="141" t="s">
        <v>40</v>
      </c>
      <c r="B53" s="141"/>
      <c r="C53" s="141"/>
      <c r="D53" s="141"/>
      <c r="E53" s="141"/>
      <c r="F53" s="21"/>
      <c r="G53" s="21"/>
      <c r="H53" s="21"/>
      <c r="I53" s="21"/>
      <c r="J53" s="21"/>
      <c r="K53" s="21"/>
      <c r="L53" s="21"/>
      <c r="M53" s="21"/>
    </row>
    <row r="54" spans="1:5" ht="24">
      <c r="A54" s="29" t="s">
        <v>41</v>
      </c>
      <c r="B54" s="23" t="s">
        <v>42</v>
      </c>
      <c r="C54" s="23" t="s">
        <v>43</v>
      </c>
      <c r="D54" s="23" t="s">
        <v>44</v>
      </c>
      <c r="E54" s="23" t="s">
        <v>34</v>
      </c>
    </row>
    <row r="55" spans="1:6" ht="15">
      <c r="A55" s="29">
        <v>111</v>
      </c>
      <c r="B55" s="22" t="s">
        <v>13</v>
      </c>
      <c r="C55" s="22">
        <f>F9+F17+F27+F34+F40</f>
        <v>8179</v>
      </c>
      <c r="D55" s="22">
        <f>K9+K17+K27+K34</f>
        <v>7996</v>
      </c>
      <c r="E55" s="22">
        <f aca="true" t="shared" si="0" ref="E55:E62">D55-C55</f>
        <v>-183</v>
      </c>
      <c r="F55" t="s">
        <v>114</v>
      </c>
    </row>
    <row r="56" spans="1:5" ht="15">
      <c r="A56" s="142" t="s">
        <v>39</v>
      </c>
      <c r="B56" s="142"/>
      <c r="C56" s="29">
        <f>SUM(C55:C55)</f>
        <v>8179</v>
      </c>
      <c r="D56" s="29">
        <f>SUM(D55:D55)</f>
        <v>7996</v>
      </c>
      <c r="E56" s="22">
        <f t="shared" si="0"/>
        <v>-183</v>
      </c>
    </row>
    <row r="57" spans="1:7" ht="15">
      <c r="A57" s="29">
        <v>119</v>
      </c>
      <c r="B57" s="30">
        <v>0.22</v>
      </c>
      <c r="C57" s="22">
        <v>13841</v>
      </c>
      <c r="D57" s="22">
        <f>(H44-I23-I14)*22%</f>
        <v>13838.944006470001</v>
      </c>
      <c r="E57" s="22">
        <f t="shared" si="0"/>
        <v>-2.0559935299988865</v>
      </c>
      <c r="F57" s="31"/>
      <c r="G57" s="14"/>
    </row>
    <row r="58" spans="1:7" ht="15">
      <c r="A58" s="29">
        <v>119</v>
      </c>
      <c r="B58" s="30">
        <v>0.029</v>
      </c>
      <c r="C58" s="22">
        <v>1824.49</v>
      </c>
      <c r="D58" s="22">
        <f>(H44-I14-I23)*2.9%</f>
        <v>1824.2244372164998</v>
      </c>
      <c r="E58" s="22">
        <f t="shared" si="0"/>
        <v>-0.2655627835001724</v>
      </c>
      <c r="F58" s="31"/>
      <c r="G58" s="14"/>
    </row>
    <row r="59" spans="1:7" ht="15">
      <c r="A59" s="29">
        <v>119</v>
      </c>
      <c r="B59" s="30">
        <v>0.051</v>
      </c>
      <c r="C59" s="22">
        <v>3208.59</v>
      </c>
      <c r="D59" s="22">
        <f>(H44-I23-I14)*5.1%</f>
        <v>3208.1188378634997</v>
      </c>
      <c r="E59" s="22">
        <f t="shared" si="0"/>
        <v>-0.4711621365004248</v>
      </c>
      <c r="F59" s="31"/>
      <c r="G59" s="14"/>
    </row>
    <row r="60" spans="1:7" ht="15">
      <c r="A60" s="29">
        <v>119</v>
      </c>
      <c r="B60" s="30">
        <v>0.002</v>
      </c>
      <c r="C60" s="22">
        <v>125.82</v>
      </c>
      <c r="D60" s="22">
        <f>(H44-I14-I23)*0.2%</f>
        <v>125.80858187700001</v>
      </c>
      <c r="E60" s="22">
        <f t="shared" si="0"/>
        <v>-0.011418122999984348</v>
      </c>
      <c r="F60" s="31"/>
      <c r="G60" s="14"/>
    </row>
    <row r="61" spans="1:7" ht="15">
      <c r="A61" s="143" t="s">
        <v>39</v>
      </c>
      <c r="B61" s="143"/>
      <c r="C61" s="32">
        <f>SUM(C57:C60)</f>
        <v>18999.9</v>
      </c>
      <c r="D61" s="32">
        <f>SUM(D57:D60)</f>
        <v>18997.095863427003</v>
      </c>
      <c r="E61" s="22">
        <f t="shared" si="0"/>
        <v>-2.8041365729986865</v>
      </c>
      <c r="F61" s="33"/>
      <c r="G61" s="33"/>
    </row>
    <row r="62" spans="1:5" ht="15">
      <c r="A62" s="142" t="s">
        <v>45</v>
      </c>
      <c r="B62" s="142"/>
      <c r="C62" s="29">
        <f>C56+C61</f>
        <v>27178.9</v>
      </c>
      <c r="D62" s="29">
        <f>D56+D61</f>
        <v>26993.095863427003</v>
      </c>
      <c r="E62" s="22">
        <f t="shared" si="0"/>
        <v>-185.8041365729987</v>
      </c>
    </row>
  </sheetData>
  <sheetProtection/>
  <mergeCells count="79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N9:N16"/>
    <mergeCell ref="O9:O16"/>
    <mergeCell ref="A16:B16"/>
    <mergeCell ref="C16:D16"/>
    <mergeCell ref="E16:F16"/>
    <mergeCell ref="H16:I16"/>
    <mergeCell ref="J16:K16"/>
    <mergeCell ref="J26:K26"/>
    <mergeCell ref="A17:B25"/>
    <mergeCell ref="G17:G26"/>
    <mergeCell ref="L17:L26"/>
    <mergeCell ref="M17:M26"/>
    <mergeCell ref="N17:N26"/>
    <mergeCell ref="A27:B32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G34:G39"/>
    <mergeCell ref="L34:L39"/>
    <mergeCell ref="M34:M39"/>
    <mergeCell ref="N34:N39"/>
    <mergeCell ref="O27:O33"/>
    <mergeCell ref="A33:B33"/>
    <mergeCell ref="C33:D33"/>
    <mergeCell ref="E33:F33"/>
    <mergeCell ref="H33:I33"/>
    <mergeCell ref="J33:K33"/>
    <mergeCell ref="L40:L43"/>
    <mergeCell ref="M40:M43"/>
    <mergeCell ref="N40:N43"/>
    <mergeCell ref="O34:O39"/>
    <mergeCell ref="A39:B39"/>
    <mergeCell ref="C39:D39"/>
    <mergeCell ref="E39:F39"/>
    <mergeCell ref="H39:I39"/>
    <mergeCell ref="J39:K39"/>
    <mergeCell ref="A34:B38"/>
    <mergeCell ref="H44:I44"/>
    <mergeCell ref="J44:K44"/>
    <mergeCell ref="O40:O43"/>
    <mergeCell ref="A43:B43"/>
    <mergeCell ref="C43:D43"/>
    <mergeCell ref="E43:F43"/>
    <mergeCell ref="H43:I43"/>
    <mergeCell ref="J43:K43"/>
    <mergeCell ref="A40:B42"/>
    <mergeCell ref="G40:G43"/>
    <mergeCell ref="A53:E53"/>
    <mergeCell ref="A56:B56"/>
    <mergeCell ref="A61:B61"/>
    <mergeCell ref="A62:B62"/>
    <mergeCell ref="A44:B44"/>
    <mergeCell ref="C44:D44"/>
    <mergeCell ref="E44:F44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O2" sqref="O2"/>
    </sheetView>
  </sheetViews>
  <sheetFormatPr defaultColWidth="9.7109375" defaultRowHeight="15"/>
  <cols>
    <col min="1" max="1" width="9.7109375" style="0" customWidth="1"/>
    <col min="2" max="2" width="12.57421875" style="0" customWidth="1"/>
    <col min="3" max="3" width="35.7109375" style="0" customWidth="1"/>
    <col min="4" max="4" width="9.7109375" style="0" customWidth="1"/>
    <col min="5" max="5" width="11.28125" style="0" customWidth="1"/>
    <col min="6" max="7" width="9.7109375" style="0" customWidth="1"/>
    <col min="8" max="8" width="36.00390625" style="0" customWidth="1"/>
    <col min="9" max="9" width="9.7109375" style="0" customWidth="1"/>
    <col min="10" max="10" width="11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15.57421875" style="0" customWidth="1"/>
    <col min="15" max="15" width="16.7109375" style="0" customWidth="1"/>
    <col min="16" max="16" width="10.8515625" style="0" customWidth="1"/>
    <col min="17" max="17" width="9.7109375" style="0" customWidth="1"/>
    <col min="18" max="18" width="10.7109375" style="0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 t="s">
        <v>115</v>
      </c>
    </row>
    <row r="2" spans="1:15" ht="8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1:15" ht="12.75" customHeight="1">
      <c r="A3" s="149" t="str">
        <f>ПРИЛОЖЕНИЕ!A3</f>
        <v>Расчет заработной платы  МКУ «Культурно-спортивный комплекс Янишпольского сельского поселения» по данным бухгалтерского учета и данным контрольного мероприятия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5.75" customHeight="1">
      <c r="A5" s="150" t="s">
        <v>116</v>
      </c>
      <c r="B5" s="150"/>
      <c r="C5" s="153" t="str">
        <f>ПРИЛОЖЕНИЕ!C5</f>
        <v>По данным  расчетных ведомостей и карточек-справок</v>
      </c>
      <c r="D5" s="153"/>
      <c r="E5" s="153"/>
      <c r="F5" s="153"/>
      <c r="G5" s="153"/>
      <c r="H5" s="153" t="str">
        <f>ПРИЛОЖЕНИЕ!I5</f>
        <v>По данным проверки контрольного мероприятия</v>
      </c>
      <c r="I5" s="153"/>
      <c r="J5" s="153"/>
      <c r="K5" s="153"/>
      <c r="L5" s="153"/>
      <c r="M5" s="144" t="s">
        <v>2</v>
      </c>
      <c r="N5" s="144" t="s">
        <v>3</v>
      </c>
      <c r="O5" s="144" t="s">
        <v>4</v>
      </c>
    </row>
    <row r="6" spans="1:15" ht="29.25" customHeight="1">
      <c r="A6" s="152" t="s">
        <v>5</v>
      </c>
      <c r="B6" s="152"/>
      <c r="C6" s="144" t="s">
        <v>6</v>
      </c>
      <c r="D6" s="144"/>
      <c r="E6" s="144" t="str">
        <f>ПРИЛОЖЕНИЕ!F6</f>
        <v>Удержано за 2021 год</v>
      </c>
      <c r="F6" s="144"/>
      <c r="G6" s="144" t="s">
        <v>7</v>
      </c>
      <c r="H6" s="144" t="s">
        <v>6</v>
      </c>
      <c r="I6" s="144"/>
      <c r="J6" s="144" t="str">
        <f>ПРИЛОЖЕНИЕ!L6</f>
        <v>Удержано за 2021 год</v>
      </c>
      <c r="K6" s="144"/>
      <c r="L6" s="144" t="s">
        <v>7</v>
      </c>
      <c r="M6" s="144"/>
      <c r="N6" s="144"/>
      <c r="O6" s="144"/>
    </row>
    <row r="7" spans="1:15" ht="62.25" customHeight="1">
      <c r="A7" s="152"/>
      <c r="B7" s="152"/>
      <c r="C7" s="5" t="s">
        <v>8</v>
      </c>
      <c r="D7" s="6" t="s">
        <v>9</v>
      </c>
      <c r="E7" s="5" t="s">
        <v>10</v>
      </c>
      <c r="F7" s="6" t="s">
        <v>9</v>
      </c>
      <c r="G7" s="144"/>
      <c r="H7" s="5" t="s">
        <v>11</v>
      </c>
      <c r="I7" s="6" t="s">
        <v>9</v>
      </c>
      <c r="J7" s="5" t="s">
        <v>10</v>
      </c>
      <c r="K7" s="6" t="s">
        <v>9</v>
      </c>
      <c r="L7" s="144"/>
      <c r="M7" s="144"/>
      <c r="N7" s="144"/>
      <c r="O7" s="144"/>
    </row>
    <row r="8" spans="1:15" ht="15">
      <c r="A8" s="148">
        <v>1</v>
      </c>
      <c r="B8" s="148"/>
      <c r="C8" s="7">
        <v>2</v>
      </c>
      <c r="D8" s="8">
        <v>3</v>
      </c>
      <c r="E8" s="7">
        <v>4</v>
      </c>
      <c r="F8" s="8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7">
        <v>12</v>
      </c>
      <c r="N8" s="7">
        <v>13</v>
      </c>
      <c r="O8" s="7">
        <v>14</v>
      </c>
    </row>
    <row r="9" spans="1:16" ht="13.5" customHeight="1">
      <c r="A9" s="147" t="s">
        <v>67</v>
      </c>
      <c r="B9" s="147"/>
      <c r="C9" s="10" t="str">
        <f>ПРИЛОЖЕНИЕ!C9</f>
        <v>Оклад по штатному расписанию</v>
      </c>
      <c r="D9" s="11">
        <v>4200</v>
      </c>
      <c r="E9" s="11" t="s">
        <v>13</v>
      </c>
      <c r="F9" s="11">
        <v>2712</v>
      </c>
      <c r="G9" s="145">
        <f>C16-E16</f>
        <v>8147.300000000003</v>
      </c>
      <c r="H9" s="10" t="str">
        <f>ПРИЛОЖЕНИЕ!I9</f>
        <v>Оклад по штатному расписанию</v>
      </c>
      <c r="I9" s="11">
        <v>4200</v>
      </c>
      <c r="J9" s="13" t="s">
        <v>13</v>
      </c>
      <c r="K9" s="11">
        <v>2712</v>
      </c>
      <c r="L9" s="145">
        <f>H16-J16</f>
        <v>8147.300000000003</v>
      </c>
      <c r="M9" s="145">
        <f>H16-C16</f>
        <v>0</v>
      </c>
      <c r="N9" s="145">
        <v>8147.3</v>
      </c>
      <c r="O9" s="145">
        <f>L9-N9</f>
        <v>0</v>
      </c>
      <c r="P9" s="14"/>
    </row>
    <row r="10" spans="1:16" ht="36">
      <c r="A10" s="147"/>
      <c r="B10" s="147"/>
      <c r="C10" s="15" t="str">
        <f>ПРИЛОЖЕНИЕ!C10</f>
        <v>За наличие квалификационной категории - 3%</v>
      </c>
      <c r="D10" s="11">
        <v>126</v>
      </c>
      <c r="E10" s="16" t="s">
        <v>14</v>
      </c>
      <c r="F10" s="11">
        <v>5000</v>
      </c>
      <c r="G10" s="145"/>
      <c r="H10" s="15" t="str">
        <f>ПРИЛОЖЕНИЕ!I10</f>
        <v>За наличие квалификационной категории — 3%</v>
      </c>
      <c r="I10" s="11">
        <f>ROUND(I9*3%,2)</f>
        <v>126</v>
      </c>
      <c r="J10" s="16" t="s">
        <v>14</v>
      </c>
      <c r="K10" s="11">
        <v>5000</v>
      </c>
      <c r="L10" s="145"/>
      <c r="M10" s="145"/>
      <c r="N10" s="145"/>
      <c r="O10" s="145"/>
      <c r="P10" s="14"/>
    </row>
    <row r="11" spans="1:16" ht="15">
      <c r="A11" s="147"/>
      <c r="B11" s="147"/>
      <c r="C11" s="15" t="str">
        <f>ПРИЛОЖЕНИЕ!C11</f>
        <v>За стаж непрерывной работы, выслуга - 30%</v>
      </c>
      <c r="D11" s="11">
        <v>1260</v>
      </c>
      <c r="E11" s="11" t="s">
        <v>58</v>
      </c>
      <c r="F11" s="11">
        <v>5000</v>
      </c>
      <c r="G11" s="145"/>
      <c r="H11" s="15" t="str">
        <f>ПРИЛОЖЕНИЕ!I11</f>
        <v>За стаж непрерывной работы, выслуга — 30%</v>
      </c>
      <c r="I11" s="11">
        <f>ROUND(I9*30%,2)</f>
        <v>1260</v>
      </c>
      <c r="J11" s="11" t="s">
        <v>58</v>
      </c>
      <c r="K11" s="11">
        <v>5000</v>
      </c>
      <c r="L11" s="145"/>
      <c r="M11" s="145"/>
      <c r="N11" s="145"/>
      <c r="O11" s="145"/>
      <c r="P11" s="14">
        <f>F10+G9-K10-N9</f>
        <v>0</v>
      </c>
    </row>
    <row r="12" spans="1:16" ht="36">
      <c r="A12" s="147"/>
      <c r="B12" s="147"/>
      <c r="C12" s="18" t="s">
        <v>15</v>
      </c>
      <c r="D12" s="11">
        <v>7056</v>
      </c>
      <c r="E12" s="11"/>
      <c r="F12" s="11"/>
      <c r="G12" s="145"/>
      <c r="H12" s="18" t="s">
        <v>15</v>
      </c>
      <c r="I12" s="11">
        <v>7056</v>
      </c>
      <c r="J12" s="11"/>
      <c r="K12" s="11"/>
      <c r="L12" s="145"/>
      <c r="M12" s="145"/>
      <c r="N12" s="145"/>
      <c r="O12" s="145"/>
      <c r="P12" s="14"/>
    </row>
    <row r="13" spans="1:16" ht="24">
      <c r="A13" s="147"/>
      <c r="B13" s="147"/>
      <c r="C13" s="18" t="s">
        <v>16</v>
      </c>
      <c r="D13" s="11">
        <f>(D9+D10+D11+D12)*65%</f>
        <v>8217.300000000001</v>
      </c>
      <c r="E13" s="11"/>
      <c r="F13" s="11"/>
      <c r="G13" s="145"/>
      <c r="H13" s="18" t="s">
        <v>16</v>
      </c>
      <c r="I13" s="11">
        <f>(I9+I10+I11+I12)*65%</f>
        <v>8217.300000000001</v>
      </c>
      <c r="J13" s="17"/>
      <c r="K13" s="11"/>
      <c r="L13" s="145"/>
      <c r="M13" s="145"/>
      <c r="N13" s="145"/>
      <c r="O13" s="145"/>
      <c r="P13" s="14"/>
    </row>
    <row r="14" spans="1:16" ht="15" hidden="1">
      <c r="A14" s="147"/>
      <c r="B14" s="147"/>
      <c r="C14" s="18"/>
      <c r="D14" s="11"/>
      <c r="E14" s="11"/>
      <c r="F14" s="11"/>
      <c r="G14" s="145"/>
      <c r="H14" s="18"/>
      <c r="I14" s="11"/>
      <c r="J14" s="17"/>
      <c r="K14" s="11"/>
      <c r="L14" s="145"/>
      <c r="M14" s="145"/>
      <c r="N14" s="145"/>
      <c r="O14" s="145"/>
      <c r="P14" s="14"/>
    </row>
    <row r="15" spans="1:16" ht="15" hidden="1">
      <c r="A15" s="147"/>
      <c r="B15" s="147"/>
      <c r="C15" s="18"/>
      <c r="D15" s="11"/>
      <c r="E15" s="11"/>
      <c r="F15" s="11"/>
      <c r="G15" s="145"/>
      <c r="H15" s="18"/>
      <c r="I15" s="11"/>
      <c r="J15" s="17"/>
      <c r="K15" s="11"/>
      <c r="L15" s="145"/>
      <c r="M15" s="145"/>
      <c r="N15" s="145"/>
      <c r="O15" s="145"/>
      <c r="P15" s="14"/>
    </row>
    <row r="16" spans="1:16" ht="15">
      <c r="A16" s="146" t="s">
        <v>19</v>
      </c>
      <c r="B16" s="146"/>
      <c r="C16" s="145">
        <f>D9+D10+D11+D12+D13+D14+D15</f>
        <v>20859.300000000003</v>
      </c>
      <c r="D16" s="145"/>
      <c r="E16" s="145">
        <f>F9+F10+F11+F12</f>
        <v>12712</v>
      </c>
      <c r="F16" s="145"/>
      <c r="G16" s="145"/>
      <c r="H16" s="145">
        <f>I9+I10+I11+I12+I13+I14+I15</f>
        <v>20859.300000000003</v>
      </c>
      <c r="I16" s="145"/>
      <c r="J16" s="145">
        <f>K9+K10+K11+K12</f>
        <v>12712</v>
      </c>
      <c r="K16" s="145"/>
      <c r="L16" s="145"/>
      <c r="M16" s="145"/>
      <c r="N16" s="145"/>
      <c r="O16" s="145"/>
      <c r="P16" s="14"/>
    </row>
    <row r="17" spans="1:16" ht="13.5" customHeight="1">
      <c r="A17" s="147" t="s">
        <v>77</v>
      </c>
      <c r="B17" s="147"/>
      <c r="C17" s="10" t="s">
        <v>21</v>
      </c>
      <c r="D17" s="11">
        <v>12000</v>
      </c>
      <c r="E17" s="11" t="s">
        <v>13</v>
      </c>
      <c r="F17" s="11">
        <v>5069</v>
      </c>
      <c r="G17" s="145">
        <f>C26-E26</f>
        <v>20321.019999999997</v>
      </c>
      <c r="H17" s="10" t="s">
        <v>21</v>
      </c>
      <c r="I17" s="11">
        <v>12000</v>
      </c>
      <c r="J17" s="11" t="s">
        <v>13</v>
      </c>
      <c r="K17" s="17">
        <v>5066</v>
      </c>
      <c r="L17" s="145">
        <f>H26-J26</f>
        <v>20306.199999999997</v>
      </c>
      <c r="M17" s="145">
        <f>H26-C26</f>
        <v>-17.81999999999971</v>
      </c>
      <c r="N17" s="145">
        <v>20231.02</v>
      </c>
      <c r="O17" s="145">
        <f>L17-N17</f>
        <v>75.17999999999665</v>
      </c>
      <c r="P17" s="14"/>
    </row>
    <row r="18" spans="1:16" ht="36">
      <c r="A18" s="147"/>
      <c r="B18" s="147"/>
      <c r="C18" s="15" t="s">
        <v>22</v>
      </c>
      <c r="D18" s="11">
        <f>D17*30%</f>
        <v>3600</v>
      </c>
      <c r="E18" s="16" t="s">
        <v>14</v>
      </c>
      <c r="F18" s="11">
        <v>15000</v>
      </c>
      <c r="G18" s="145"/>
      <c r="H18" s="15" t="s">
        <v>22</v>
      </c>
      <c r="I18" s="11">
        <f>I17*30%</f>
        <v>3600</v>
      </c>
      <c r="J18" s="16" t="s">
        <v>14</v>
      </c>
      <c r="K18" s="11">
        <v>15000</v>
      </c>
      <c r="L18" s="145"/>
      <c r="M18" s="145"/>
      <c r="N18" s="145"/>
      <c r="O18" s="145"/>
      <c r="P18" s="14"/>
    </row>
    <row r="19" spans="1:16" ht="15">
      <c r="A19" s="147"/>
      <c r="B19" s="147"/>
      <c r="C19" s="18" t="s">
        <v>23</v>
      </c>
      <c r="D19" s="11">
        <v>7282.8</v>
      </c>
      <c r="E19" s="11"/>
      <c r="F19" s="11"/>
      <c r="G19" s="145"/>
      <c r="H19" s="18" t="s">
        <v>23</v>
      </c>
      <c r="I19" s="11">
        <f>I17*60.6%</f>
        <v>7272</v>
      </c>
      <c r="J19" s="11"/>
      <c r="K19" s="11"/>
      <c r="L19" s="145"/>
      <c r="M19" s="145"/>
      <c r="N19" s="145"/>
      <c r="O19" s="145"/>
      <c r="P19" s="14"/>
    </row>
    <row r="20" spans="1:16" ht="17.25" customHeight="1">
      <c r="A20" s="147"/>
      <c r="B20" s="147"/>
      <c r="C20" s="18" t="s">
        <v>24</v>
      </c>
      <c r="D20" s="11">
        <v>1596</v>
      </c>
      <c r="E20" s="11"/>
      <c r="F20" s="11"/>
      <c r="G20" s="145"/>
      <c r="H20" s="18" t="s">
        <v>24</v>
      </c>
      <c r="I20" s="11">
        <f>I17*13.3%</f>
        <v>1596</v>
      </c>
      <c r="J20" s="17"/>
      <c r="K20" s="11"/>
      <c r="L20" s="145"/>
      <c r="M20" s="145"/>
      <c r="N20" s="145"/>
      <c r="O20" s="145"/>
      <c r="P20" s="14">
        <f>F18+G17-K18-N17</f>
        <v>89.99999999999636</v>
      </c>
    </row>
    <row r="21" spans="1:16" ht="15" hidden="1">
      <c r="A21" s="147"/>
      <c r="B21" s="147"/>
      <c r="C21" s="18"/>
      <c r="D21" s="11"/>
      <c r="E21" s="11"/>
      <c r="F21" s="11"/>
      <c r="G21" s="145"/>
      <c r="H21" s="18"/>
      <c r="I21" s="11"/>
      <c r="J21" s="17"/>
      <c r="K21" s="11"/>
      <c r="L21" s="145"/>
      <c r="M21" s="145"/>
      <c r="N21" s="145"/>
      <c r="O21" s="145"/>
      <c r="P21" s="14"/>
    </row>
    <row r="22" spans="1:16" ht="24">
      <c r="A22" s="147"/>
      <c r="B22" s="147"/>
      <c r="C22" s="18" t="s">
        <v>16</v>
      </c>
      <c r="D22" s="11">
        <v>15911.22</v>
      </c>
      <c r="E22" s="11"/>
      <c r="F22" s="11"/>
      <c r="G22" s="145"/>
      <c r="H22" s="18" t="s">
        <v>16</v>
      </c>
      <c r="I22" s="11">
        <f>(I17+I18+I19+I20+I21)*65%</f>
        <v>15904.2</v>
      </c>
      <c r="J22" s="17"/>
      <c r="K22" s="11"/>
      <c r="L22" s="145"/>
      <c r="M22" s="145"/>
      <c r="N22" s="145"/>
      <c r="O22" s="145"/>
      <c r="P22" s="14"/>
    </row>
    <row r="23" spans="1:16" ht="15" hidden="1">
      <c r="A23" s="147"/>
      <c r="B23" s="147"/>
      <c r="C23" s="18"/>
      <c r="D23" s="11"/>
      <c r="E23" s="11"/>
      <c r="F23" s="11"/>
      <c r="G23" s="145"/>
      <c r="H23" s="18"/>
      <c r="I23" s="11"/>
      <c r="J23" s="17"/>
      <c r="K23" s="11"/>
      <c r="L23" s="145"/>
      <c r="M23" s="145"/>
      <c r="N23" s="145"/>
      <c r="O23" s="145"/>
      <c r="P23" s="14"/>
    </row>
    <row r="24" spans="1:16" ht="15" hidden="1">
      <c r="A24" s="147"/>
      <c r="B24" s="147"/>
      <c r="C24" s="18"/>
      <c r="D24" s="11"/>
      <c r="E24" s="11"/>
      <c r="F24" s="11"/>
      <c r="G24" s="145"/>
      <c r="H24" s="18"/>
      <c r="I24" s="11"/>
      <c r="J24" s="17"/>
      <c r="K24" s="11"/>
      <c r="L24" s="145"/>
      <c r="M24" s="145"/>
      <c r="N24" s="145"/>
      <c r="O24" s="145"/>
      <c r="P24" s="14"/>
    </row>
    <row r="25" spans="1:16" ht="15" hidden="1">
      <c r="A25" s="147"/>
      <c r="B25" s="147"/>
      <c r="C25" s="18"/>
      <c r="D25" s="11"/>
      <c r="E25" s="11"/>
      <c r="F25" s="11"/>
      <c r="G25" s="145"/>
      <c r="H25" s="18"/>
      <c r="I25" s="11"/>
      <c r="J25" s="17"/>
      <c r="K25" s="11"/>
      <c r="L25" s="145"/>
      <c r="M25" s="145"/>
      <c r="N25" s="145"/>
      <c r="O25" s="145"/>
      <c r="P25" s="14"/>
    </row>
    <row r="26" spans="1:16" ht="15">
      <c r="A26" s="146" t="s">
        <v>19</v>
      </c>
      <c r="B26" s="146"/>
      <c r="C26" s="145">
        <f>D17+D18+D19+D20+D21+D22+D23+D24+D25</f>
        <v>40390.02</v>
      </c>
      <c r="D26" s="145"/>
      <c r="E26" s="145">
        <f>F17+F18+F19</f>
        <v>20069</v>
      </c>
      <c r="F26" s="145"/>
      <c r="G26" s="145"/>
      <c r="H26" s="145">
        <f>SUM(I17:I25)</f>
        <v>40372.2</v>
      </c>
      <c r="I26" s="145"/>
      <c r="J26" s="145">
        <f>K17+K18+K19</f>
        <v>20066</v>
      </c>
      <c r="K26" s="145"/>
      <c r="L26" s="145"/>
      <c r="M26" s="145"/>
      <c r="N26" s="145"/>
      <c r="O26" s="145"/>
      <c r="P26" s="14"/>
    </row>
    <row r="27" spans="1:16" ht="13.5" customHeight="1">
      <c r="A27" s="147" t="s">
        <v>70</v>
      </c>
      <c r="B27" s="147"/>
      <c r="C27" s="10" t="s">
        <v>21</v>
      </c>
      <c r="D27" s="11">
        <v>10000</v>
      </c>
      <c r="E27" s="11" t="s">
        <v>13</v>
      </c>
      <c r="F27" s="17">
        <v>2744</v>
      </c>
      <c r="G27" s="145">
        <f>C33-E33</f>
        <v>8362.8</v>
      </c>
      <c r="H27" s="10" t="s">
        <v>21</v>
      </c>
      <c r="I27" s="11">
        <v>10000</v>
      </c>
      <c r="J27" s="11" t="s">
        <v>13</v>
      </c>
      <c r="K27" s="11">
        <v>2744</v>
      </c>
      <c r="L27" s="145">
        <f>H33-J33</f>
        <v>8362.800000000003</v>
      </c>
      <c r="M27" s="145">
        <f>H33-C33</f>
        <v>0</v>
      </c>
      <c r="N27" s="145">
        <v>8362.8</v>
      </c>
      <c r="O27" s="145">
        <f>L27-N27</f>
        <v>0</v>
      </c>
      <c r="P27" s="14"/>
    </row>
    <row r="28" spans="1:16" ht="36">
      <c r="A28" s="147"/>
      <c r="B28" s="147"/>
      <c r="C28" s="18" t="s">
        <v>27</v>
      </c>
      <c r="D28" s="11">
        <v>2792</v>
      </c>
      <c r="E28" s="16" t="s">
        <v>14</v>
      </c>
      <c r="F28" s="11">
        <v>10000</v>
      </c>
      <c r="G28" s="145"/>
      <c r="H28" s="18" t="s">
        <v>27</v>
      </c>
      <c r="I28" s="11">
        <v>2792</v>
      </c>
      <c r="J28" s="16" t="s">
        <v>14</v>
      </c>
      <c r="K28" s="11">
        <v>10000</v>
      </c>
      <c r="L28" s="145"/>
      <c r="M28" s="145"/>
      <c r="N28" s="145"/>
      <c r="O28" s="145"/>
      <c r="P28" s="14"/>
    </row>
    <row r="29" spans="1:16" ht="15" hidden="1">
      <c r="A29" s="147"/>
      <c r="B29" s="147"/>
      <c r="C29" s="10"/>
      <c r="D29" s="11"/>
      <c r="E29" s="11"/>
      <c r="F29" s="11"/>
      <c r="G29" s="145"/>
      <c r="H29" s="10"/>
      <c r="I29" s="11"/>
      <c r="J29" s="11"/>
      <c r="K29" s="11"/>
      <c r="L29" s="145"/>
      <c r="M29" s="145"/>
      <c r="N29" s="145"/>
      <c r="O29" s="145"/>
      <c r="P29" s="14"/>
    </row>
    <row r="30" spans="1:16" ht="24">
      <c r="A30" s="147"/>
      <c r="B30" s="147"/>
      <c r="C30" s="18" t="s">
        <v>16</v>
      </c>
      <c r="D30" s="11">
        <v>8314.8</v>
      </c>
      <c r="E30" s="11"/>
      <c r="F30" s="11"/>
      <c r="G30" s="145"/>
      <c r="H30" s="18" t="s">
        <v>16</v>
      </c>
      <c r="I30" s="11">
        <f>(I29+I27+I28)*65%</f>
        <v>8314.800000000001</v>
      </c>
      <c r="J30" s="11"/>
      <c r="K30" s="11"/>
      <c r="L30" s="145"/>
      <c r="M30" s="145"/>
      <c r="N30" s="145"/>
      <c r="O30" s="145"/>
      <c r="P30" s="14">
        <f>F28+G27-K28-N27</f>
        <v>0</v>
      </c>
    </row>
    <row r="31" spans="1:16" ht="15" hidden="1">
      <c r="A31" s="147"/>
      <c r="B31" s="147"/>
      <c r="C31" s="10"/>
      <c r="D31" s="11"/>
      <c r="E31" s="11"/>
      <c r="F31" s="11"/>
      <c r="G31" s="145"/>
      <c r="H31" s="18"/>
      <c r="I31" s="11"/>
      <c r="J31" s="17"/>
      <c r="K31" s="11"/>
      <c r="L31" s="145"/>
      <c r="M31" s="145"/>
      <c r="N31" s="145"/>
      <c r="O31" s="145"/>
      <c r="P31" s="14"/>
    </row>
    <row r="32" spans="1:16" ht="7.5" customHeight="1" hidden="1">
      <c r="A32" s="147"/>
      <c r="B32" s="147"/>
      <c r="C32" s="18"/>
      <c r="D32" s="11"/>
      <c r="E32" s="11"/>
      <c r="F32" s="11"/>
      <c r="G32" s="145"/>
      <c r="H32" s="18"/>
      <c r="I32" s="11"/>
      <c r="J32" s="17"/>
      <c r="K32" s="11"/>
      <c r="L32" s="145"/>
      <c r="M32" s="145"/>
      <c r="N32" s="145"/>
      <c r="O32" s="145"/>
      <c r="P32" s="14"/>
    </row>
    <row r="33" spans="1:16" ht="17.25" customHeight="1">
      <c r="A33" s="146" t="s">
        <v>19</v>
      </c>
      <c r="B33" s="146"/>
      <c r="C33" s="145">
        <f>D27+D28+D29+D31+D30</f>
        <v>21106.8</v>
      </c>
      <c r="D33" s="145"/>
      <c r="E33" s="145">
        <f>F27+F28+F29+F30</f>
        <v>12744</v>
      </c>
      <c r="F33" s="145"/>
      <c r="G33" s="145"/>
      <c r="H33" s="145">
        <f>I27+I28+I30+I31+I29</f>
        <v>21106.800000000003</v>
      </c>
      <c r="I33" s="145"/>
      <c r="J33" s="145">
        <f>K27+K28+K29+K30</f>
        <v>12744</v>
      </c>
      <c r="K33" s="145"/>
      <c r="L33" s="145"/>
      <c r="M33" s="145"/>
      <c r="N33" s="145"/>
      <c r="O33" s="145"/>
      <c r="P33" s="14"/>
    </row>
    <row r="34" spans="1:16" ht="16.5" customHeight="1">
      <c r="A34" s="147" t="s">
        <v>71</v>
      </c>
      <c r="B34" s="147"/>
      <c r="C34" s="10" t="s">
        <v>21</v>
      </c>
      <c r="D34" s="11">
        <v>14545.5</v>
      </c>
      <c r="E34" s="11" t="s">
        <v>13</v>
      </c>
      <c r="F34" s="17">
        <v>4882</v>
      </c>
      <c r="G34" s="145">
        <f>C38-E38</f>
        <v>22668.072999999997</v>
      </c>
      <c r="H34" s="10" t="s">
        <v>21</v>
      </c>
      <c r="I34" s="11">
        <v>14545.5</v>
      </c>
      <c r="J34" s="11" t="s">
        <v>13</v>
      </c>
      <c r="K34" s="11">
        <v>4882</v>
      </c>
      <c r="L34" s="145">
        <f>H38-J38</f>
        <v>22668.072999999997</v>
      </c>
      <c r="M34" s="145">
        <f>H38-C38</f>
        <v>0</v>
      </c>
      <c r="N34" s="145">
        <v>22668.07</v>
      </c>
      <c r="O34" s="145">
        <f>L34-N34</f>
        <v>0.0029999999969732016</v>
      </c>
      <c r="P34" s="14"/>
    </row>
    <row r="35" spans="1:16" ht="29.25" customHeight="1">
      <c r="A35" s="147"/>
      <c r="B35" s="147"/>
      <c r="C35" s="36" t="s">
        <v>29</v>
      </c>
      <c r="D35" s="11">
        <v>1212.12</v>
      </c>
      <c r="E35" s="16" t="s">
        <v>14</v>
      </c>
      <c r="F35" s="11">
        <v>10000</v>
      </c>
      <c r="G35" s="145"/>
      <c r="H35" s="19" t="s">
        <v>29</v>
      </c>
      <c r="I35" s="11">
        <v>1212.12</v>
      </c>
      <c r="J35" s="16" t="s">
        <v>14</v>
      </c>
      <c r="K35" s="11">
        <v>10000</v>
      </c>
      <c r="L35" s="145"/>
      <c r="M35" s="145"/>
      <c r="N35" s="145"/>
      <c r="O35" s="145"/>
      <c r="P35" s="14"/>
    </row>
    <row r="36" spans="1:16" ht="15" customHeight="1">
      <c r="A36" s="147"/>
      <c r="B36" s="147"/>
      <c r="C36" s="10" t="s">
        <v>117</v>
      </c>
      <c r="D36" s="11">
        <v>7000</v>
      </c>
      <c r="E36" s="16"/>
      <c r="F36" s="11"/>
      <c r="G36" s="145"/>
      <c r="H36" s="10" t="s">
        <v>117</v>
      </c>
      <c r="I36" s="11">
        <v>7000</v>
      </c>
      <c r="J36" s="16"/>
      <c r="K36" s="11"/>
      <c r="L36" s="145"/>
      <c r="M36" s="145"/>
      <c r="N36" s="145"/>
      <c r="O36" s="145"/>
      <c r="P36" s="14"/>
    </row>
    <row r="37" spans="1:16" ht="18" customHeight="1">
      <c r="A37" s="147"/>
      <c r="B37" s="147"/>
      <c r="C37" s="18" t="s">
        <v>16</v>
      </c>
      <c r="D37" s="11">
        <f>(D34+D35+D36)*65%</f>
        <v>14792.453</v>
      </c>
      <c r="E37" s="11"/>
      <c r="F37" s="11"/>
      <c r="G37" s="145"/>
      <c r="H37" s="18" t="s">
        <v>16</v>
      </c>
      <c r="I37" s="11">
        <f>(I34+I35+I36)*65%</f>
        <v>14792.453</v>
      </c>
      <c r="J37" s="17"/>
      <c r="K37" s="11"/>
      <c r="L37" s="145"/>
      <c r="M37" s="145"/>
      <c r="N37" s="145"/>
      <c r="O37" s="145"/>
      <c r="P37" s="14"/>
    </row>
    <row r="38" spans="1:16" ht="13.5" customHeight="1">
      <c r="A38" s="146" t="s">
        <v>19</v>
      </c>
      <c r="B38" s="146"/>
      <c r="C38" s="145">
        <f>D34+D35+D36+D37</f>
        <v>37550.073</v>
      </c>
      <c r="D38" s="145"/>
      <c r="E38" s="145">
        <f>F34+F35</f>
        <v>14882</v>
      </c>
      <c r="F38" s="145"/>
      <c r="G38" s="145"/>
      <c r="H38" s="145">
        <f>I34+I35+I36+I37</f>
        <v>37550.073</v>
      </c>
      <c r="I38" s="145"/>
      <c r="J38" s="145">
        <f>K34+K35</f>
        <v>14882</v>
      </c>
      <c r="K38" s="145"/>
      <c r="L38" s="145"/>
      <c r="M38" s="145"/>
      <c r="N38" s="145"/>
      <c r="O38" s="145"/>
      <c r="P38" s="14"/>
    </row>
    <row r="39" spans="1:16" ht="20.25" customHeight="1">
      <c r="A39" s="144" t="s">
        <v>54</v>
      </c>
      <c r="B39" s="144"/>
      <c r="C39" s="145">
        <f>C16+C26+C33+C38</f>
        <v>119906.193</v>
      </c>
      <c r="D39" s="145"/>
      <c r="E39" s="145">
        <f>E16+E26+E33+E38</f>
        <v>60407</v>
      </c>
      <c r="F39" s="145"/>
      <c r="G39" s="12">
        <f>SUM(G9:G38)</f>
        <v>59499.19299999999</v>
      </c>
      <c r="H39" s="145">
        <f>H16+H26+H33+H38</f>
        <v>119888.37299999999</v>
      </c>
      <c r="I39" s="145"/>
      <c r="J39" s="145">
        <f>J16+J26+J33+J38</f>
        <v>60404</v>
      </c>
      <c r="K39" s="145"/>
      <c r="L39" s="12">
        <f>L9+L17+L27+L34</f>
        <v>59484.373</v>
      </c>
      <c r="M39" s="12">
        <f>SUM(M9:M38)</f>
        <v>-17.81999999999971</v>
      </c>
      <c r="N39" s="12">
        <f>SUM(N9:N38)</f>
        <v>59409.189999999995</v>
      </c>
      <c r="O39" s="12">
        <f>SUM(O9:O38)</f>
        <v>75.18299999999363</v>
      </c>
      <c r="P39" s="14"/>
    </row>
    <row r="40" spans="5:13" ht="21" customHeight="1">
      <c r="E40" s="20"/>
      <c r="F40" s="21"/>
      <c r="G40" s="21"/>
      <c r="H40" s="21"/>
      <c r="I40" s="21"/>
      <c r="J40" s="21"/>
      <c r="K40" s="21"/>
      <c r="L40" s="21"/>
      <c r="M40" s="21"/>
    </row>
    <row r="41" spans="1:13" ht="69.75" customHeight="1">
      <c r="A41" s="22"/>
      <c r="B41" s="23" t="s">
        <v>31</v>
      </c>
      <c r="C41" s="23" t="s">
        <v>32</v>
      </c>
      <c r="D41" s="24" t="s">
        <v>33</v>
      </c>
      <c r="E41" s="25" t="s">
        <v>34</v>
      </c>
      <c r="F41" s="21"/>
      <c r="G41" s="21"/>
      <c r="H41" s="21"/>
      <c r="I41" s="21"/>
      <c r="J41" s="21"/>
      <c r="K41" s="21"/>
      <c r="L41" s="21"/>
      <c r="M41" s="21"/>
    </row>
    <row r="42" spans="1:13" ht="16.5" customHeight="1">
      <c r="A42" s="22" t="s">
        <v>35</v>
      </c>
      <c r="B42" s="22">
        <f>C16-F9</f>
        <v>18147.300000000003</v>
      </c>
      <c r="C42" s="22">
        <f>K10+N9</f>
        <v>13147.3</v>
      </c>
      <c r="D42" s="25">
        <f>H16-K9</f>
        <v>18147.300000000003</v>
      </c>
      <c r="E42" s="26">
        <f>D42-C42</f>
        <v>5000.000000000004</v>
      </c>
      <c r="F42" s="21"/>
      <c r="G42" s="21"/>
      <c r="H42" s="21"/>
      <c r="I42" s="21"/>
      <c r="J42" s="21">
        <f>K10+K18+K28+K35+N39</f>
        <v>99409.19</v>
      </c>
      <c r="K42" s="21"/>
      <c r="L42" s="21"/>
      <c r="M42" s="21"/>
    </row>
    <row r="43" spans="1:13" ht="15.75" customHeight="1">
      <c r="A43" s="22" t="s">
        <v>36</v>
      </c>
      <c r="B43" s="22">
        <f>C26-F17</f>
        <v>35321.02</v>
      </c>
      <c r="C43" s="22">
        <f>K18+N17</f>
        <v>35231.020000000004</v>
      </c>
      <c r="D43" s="25">
        <f>H26-K17</f>
        <v>35306.2</v>
      </c>
      <c r="E43" s="26">
        <f>D43-C43</f>
        <v>75.17999999999302</v>
      </c>
      <c r="F43" s="21"/>
      <c r="G43" s="21"/>
      <c r="H43" s="21"/>
      <c r="I43" s="21"/>
      <c r="J43" s="21"/>
      <c r="K43" s="21"/>
      <c r="L43" s="21"/>
      <c r="M43" s="21"/>
    </row>
    <row r="44" spans="1:13" ht="14.25" customHeight="1">
      <c r="A44" s="22" t="s">
        <v>37</v>
      </c>
      <c r="B44" s="22">
        <f>C33-F27</f>
        <v>18362.8</v>
      </c>
      <c r="C44" s="22">
        <f>K28+N27</f>
        <v>18362.8</v>
      </c>
      <c r="D44" s="25">
        <f>H33-K27</f>
        <v>18362.800000000003</v>
      </c>
      <c r="E44" s="26">
        <f>D44-C44</f>
        <v>0</v>
      </c>
      <c r="F44" s="21"/>
      <c r="G44" s="21"/>
      <c r="H44" s="21"/>
      <c r="I44" s="21"/>
      <c r="J44" s="21"/>
      <c r="K44" s="21"/>
      <c r="L44" s="21"/>
      <c r="M44" s="21"/>
    </row>
    <row r="45" spans="1:13" ht="15.75" customHeight="1">
      <c r="A45" s="22" t="s">
        <v>38</v>
      </c>
      <c r="B45" s="22">
        <f>C38-F34</f>
        <v>32668.072999999997</v>
      </c>
      <c r="C45" s="22">
        <f>K35+N34</f>
        <v>32668.07</v>
      </c>
      <c r="D45" s="25">
        <f>H38-K34</f>
        <v>32668.072999999997</v>
      </c>
      <c r="E45" s="26">
        <f>D45-C45</f>
        <v>0.0029999999969732016</v>
      </c>
      <c r="F45" s="21"/>
      <c r="G45" s="21"/>
      <c r="H45" s="21"/>
      <c r="I45" s="21"/>
      <c r="J45" s="21"/>
      <c r="K45" s="21"/>
      <c r="L45" s="21"/>
      <c r="M45" s="21"/>
    </row>
    <row r="46" spans="1:13" ht="15.75" customHeight="1">
      <c r="A46" s="22" t="s">
        <v>39</v>
      </c>
      <c r="B46" s="22">
        <f>B42+B43+B44+B45</f>
        <v>104499.193</v>
      </c>
      <c r="C46" s="22">
        <f>C42+C43+C44+C45</f>
        <v>99409.19</v>
      </c>
      <c r="D46" s="25">
        <f>SUM(D42:D45)</f>
        <v>104484.37299999999</v>
      </c>
      <c r="E46" s="26">
        <f>D46-C46</f>
        <v>5075.18299999999</v>
      </c>
      <c r="F46" s="27"/>
      <c r="G46" s="21"/>
      <c r="H46" s="21"/>
      <c r="I46" s="21"/>
      <c r="J46" s="21"/>
      <c r="K46" s="21"/>
      <c r="L46" s="21"/>
      <c r="M46" s="21"/>
    </row>
    <row r="47" spans="1:13" ht="15.75" customHeight="1">
      <c r="A47" s="28"/>
      <c r="B47" s="28"/>
      <c r="C47" s="28"/>
      <c r="D47" s="28"/>
      <c r="E47" s="25"/>
      <c r="F47" s="21"/>
      <c r="G47" s="21"/>
      <c r="H47" s="21"/>
      <c r="I47" s="21"/>
      <c r="J47" s="21"/>
      <c r="K47" s="21"/>
      <c r="L47" s="21"/>
      <c r="M47" s="21"/>
    </row>
    <row r="48" spans="1:13" ht="19.5" customHeight="1">
      <c r="A48" s="141" t="s">
        <v>40</v>
      </c>
      <c r="B48" s="141"/>
      <c r="C48" s="141"/>
      <c r="D48" s="141"/>
      <c r="E48" s="141"/>
      <c r="F48" s="21"/>
      <c r="G48" s="21"/>
      <c r="H48" s="21"/>
      <c r="I48" s="21"/>
      <c r="J48" s="21"/>
      <c r="K48" s="21"/>
      <c r="L48" s="21"/>
      <c r="M48" s="21"/>
    </row>
    <row r="49" spans="1:5" ht="24">
      <c r="A49" s="29" t="s">
        <v>41</v>
      </c>
      <c r="B49" s="23" t="s">
        <v>42</v>
      </c>
      <c r="C49" s="23" t="s">
        <v>43</v>
      </c>
      <c r="D49" s="23" t="s">
        <v>44</v>
      </c>
      <c r="E49" s="23" t="s">
        <v>34</v>
      </c>
    </row>
    <row r="50" spans="1:6" ht="15">
      <c r="A50" s="29">
        <v>111</v>
      </c>
      <c r="B50" s="22" t="s">
        <v>13</v>
      </c>
      <c r="C50" s="22">
        <f>F9+F17+F27+F34</f>
        <v>15407</v>
      </c>
      <c r="D50" s="22">
        <f>K9+K17+K27+K34</f>
        <v>15404</v>
      </c>
      <c r="E50" s="22">
        <f aca="true" t="shared" si="0" ref="E50:E57">D50-C50</f>
        <v>-3</v>
      </c>
      <c r="F50" t="s">
        <v>118</v>
      </c>
    </row>
    <row r="51" spans="1:5" ht="15">
      <c r="A51" s="142" t="s">
        <v>39</v>
      </c>
      <c r="B51" s="142"/>
      <c r="C51" s="29">
        <f>SUM(C50:C50)</f>
        <v>15407</v>
      </c>
      <c r="D51" s="29">
        <f>SUM(D50:D50)</f>
        <v>15404</v>
      </c>
      <c r="E51" s="22">
        <f t="shared" si="0"/>
        <v>-3</v>
      </c>
    </row>
    <row r="52" spans="1:7" ht="15">
      <c r="A52" s="29">
        <v>119</v>
      </c>
      <c r="B52" s="30">
        <v>0.22</v>
      </c>
      <c r="C52" s="22">
        <f>18117.91+67647.27+8261.02</f>
        <v>94026.20000000001</v>
      </c>
      <c r="D52" s="22">
        <f>(H39-I23-I14)*22%</f>
        <v>26375.442059999998</v>
      </c>
      <c r="E52" s="22">
        <f t="shared" si="0"/>
        <v>-67650.75794000001</v>
      </c>
      <c r="F52" s="31"/>
      <c r="G52" s="14"/>
    </row>
    <row r="53" spans="1:7" ht="15">
      <c r="A53" s="29">
        <v>119</v>
      </c>
      <c r="B53" s="30">
        <v>0.029</v>
      </c>
      <c r="C53" s="22">
        <f>3654.5-614.95+411.27</f>
        <v>3450.82</v>
      </c>
      <c r="D53" s="22">
        <f>(H39-I14-I23)*2.9%</f>
        <v>3476.7628169999994</v>
      </c>
      <c r="E53" s="22">
        <f t="shared" si="0"/>
        <v>25.942816999999195</v>
      </c>
      <c r="F53" s="31"/>
      <c r="G53" s="14"/>
    </row>
    <row r="54" spans="1:7" ht="15">
      <c r="A54" s="29">
        <v>119</v>
      </c>
      <c r="B54" s="30">
        <v>0.051</v>
      </c>
      <c r="C54" s="22">
        <f>9021.3+21845.6+1915.05</f>
        <v>32781.95</v>
      </c>
      <c r="D54" s="22">
        <f>(H39-I23-I14)*5.1%</f>
        <v>6114.307022999999</v>
      </c>
      <c r="E54" s="22">
        <f t="shared" si="0"/>
        <v>-26667.642976999996</v>
      </c>
      <c r="F54" s="31"/>
      <c r="G54" s="14"/>
    </row>
    <row r="55" spans="1:7" ht="15">
      <c r="A55" s="29">
        <v>119</v>
      </c>
      <c r="B55" s="30">
        <v>0.002</v>
      </c>
      <c r="C55" s="22">
        <f>388.28-255.85+28.36</f>
        <v>160.78999999999996</v>
      </c>
      <c r="D55" s="22">
        <f>(H39-I14-I23)*0.2%</f>
        <v>239.776746</v>
      </c>
      <c r="E55" s="22">
        <f t="shared" si="0"/>
        <v>78.98674600000004</v>
      </c>
      <c r="F55" s="31"/>
      <c r="G55" s="14"/>
    </row>
    <row r="56" spans="1:7" ht="15">
      <c r="A56" s="143" t="s">
        <v>39</v>
      </c>
      <c r="B56" s="143"/>
      <c r="C56" s="32">
        <f>SUM(C52:C55)</f>
        <v>130419.76000000001</v>
      </c>
      <c r="D56" s="32">
        <f>SUM(D52:D55)</f>
        <v>36206.288646</v>
      </c>
      <c r="E56" s="22">
        <f t="shared" si="0"/>
        <v>-94213.47135400001</v>
      </c>
      <c r="F56" s="33"/>
      <c r="G56" s="33"/>
    </row>
    <row r="57" spans="1:5" ht="15">
      <c r="A57" s="142" t="s">
        <v>45</v>
      </c>
      <c r="B57" s="142"/>
      <c r="C57" s="29">
        <f>C51+C56</f>
        <v>145826.76</v>
      </c>
      <c r="D57" s="29">
        <f>D51+D56</f>
        <v>51610.288646</v>
      </c>
      <c r="E57" s="22">
        <f t="shared" si="0"/>
        <v>-94216.47135400001</v>
      </c>
    </row>
  </sheetData>
  <sheetProtection/>
  <mergeCells count="68">
    <mergeCell ref="N5:N7"/>
    <mergeCell ref="O5:O7"/>
    <mergeCell ref="A6:B7"/>
    <mergeCell ref="C6:D6"/>
    <mergeCell ref="E6:F6"/>
    <mergeCell ref="G6:G7"/>
    <mergeCell ref="H6:I6"/>
    <mergeCell ref="J6:K6"/>
    <mergeCell ref="L6:L7"/>
    <mergeCell ref="A8:B8"/>
    <mergeCell ref="A9:B15"/>
    <mergeCell ref="G9:G16"/>
    <mergeCell ref="L9:L16"/>
    <mergeCell ref="M9:M16"/>
    <mergeCell ref="A3:O3"/>
    <mergeCell ref="A5:B5"/>
    <mergeCell ref="C5:G5"/>
    <mergeCell ref="H5:L5"/>
    <mergeCell ref="M5:M7"/>
    <mergeCell ref="O9:O16"/>
    <mergeCell ref="A16:B16"/>
    <mergeCell ref="C16:D16"/>
    <mergeCell ref="E16:F16"/>
    <mergeCell ref="H16:I16"/>
    <mergeCell ref="J16:K16"/>
    <mergeCell ref="A17:B25"/>
    <mergeCell ref="G17:G26"/>
    <mergeCell ref="L17:L26"/>
    <mergeCell ref="M17:M26"/>
    <mergeCell ref="N17:N26"/>
    <mergeCell ref="N9:N16"/>
    <mergeCell ref="G27:G33"/>
    <mergeCell ref="L27:L33"/>
    <mergeCell ref="M27:M33"/>
    <mergeCell ref="N27:N33"/>
    <mergeCell ref="O17:O26"/>
    <mergeCell ref="A26:B26"/>
    <mergeCell ref="C26:D26"/>
    <mergeCell ref="E26:F26"/>
    <mergeCell ref="H26:I26"/>
    <mergeCell ref="J26:K26"/>
    <mergeCell ref="L34:L38"/>
    <mergeCell ref="M34:M38"/>
    <mergeCell ref="N34:N38"/>
    <mergeCell ref="O27:O33"/>
    <mergeCell ref="A33:B33"/>
    <mergeCell ref="C33:D33"/>
    <mergeCell ref="E33:F33"/>
    <mergeCell ref="H33:I33"/>
    <mergeCell ref="J33:K33"/>
    <mergeCell ref="A27:B32"/>
    <mergeCell ref="H39:I39"/>
    <mergeCell ref="J39:K39"/>
    <mergeCell ref="O34:O38"/>
    <mergeCell ref="A38:B38"/>
    <mergeCell ref="C38:D38"/>
    <mergeCell ref="E38:F38"/>
    <mergeCell ref="H38:I38"/>
    <mergeCell ref="J38:K38"/>
    <mergeCell ref="A34:B37"/>
    <mergeCell ref="G34:G38"/>
    <mergeCell ref="A48:E48"/>
    <mergeCell ref="A51:B51"/>
    <mergeCell ref="A56:B56"/>
    <mergeCell ref="A57:B57"/>
    <mergeCell ref="A39:B39"/>
    <mergeCell ref="C39:D39"/>
    <mergeCell ref="E39:F39"/>
  </mergeCells>
  <printOptions/>
  <pageMargins left="0.330555555555556" right="0.344444444444444" top="0.75" bottom="0.75" header="0.511805555555555" footer="0.51180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LibreOffice/6.3.3.2$Windows_x86 LibreOffice_project/a64200df03143b798afd1ec74a12ab50359878ed</Application>
  <DocSecurity>0</DocSecurity>
  <Template/>
  <Manager/>
  <Company/>
  <TotalTime>8591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Анжела Варавва</dc:creator>
  <cp:keywords/>
  <dc:description/>
  <cp:lastModifiedBy>var</cp:lastModifiedBy>
  <cp:lastPrinted>2023-05-31T14:25:50Z</cp:lastPrinted>
  <dcterms:created xsi:type="dcterms:W3CDTF">2006-09-16T00:00:00Z</dcterms:created>
  <dcterms:modified xsi:type="dcterms:W3CDTF">2023-06-05T09:59:32Z</dcterms:modified>
  <cp:category/>
  <cp:version/>
  <cp:contentType/>
  <cp:contentStatus/>
  <cp:revision>651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